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davidmedinalivaq/Downloads/"/>
    </mc:Choice>
  </mc:AlternateContent>
  <xr:revisionPtr revIDLastSave="0" documentId="13_ncr:1_{52AFBC3E-CAB6-FA42-8840-B5D18D70779B}" xr6:coauthVersionLast="47" xr6:coauthVersionMax="47" xr10:uidLastSave="{00000000-0000-0000-0000-000000000000}"/>
  <bookViews>
    <workbookView xWindow="0" yWindow="780" windowWidth="36000" windowHeight="22600" activeTab="6" xr2:uid="{00000000-000D-0000-FFFF-FFFF00000000}"/>
  </bookViews>
  <sheets>
    <sheet name="README" sheetId="1" r:id="rId1"/>
    <sheet name="Dashboard" sheetId="2" r:id="rId2"/>
    <sheet name="P&amp;L Tables" sheetId="3" r:id="rId3"/>
    <sheet name="Master Dials" sheetId="4" r:id="rId4"/>
    <sheet name="Product Catalog" sheetId="5" r:id="rId5"/>
    <sheet name="Production + COGS" sheetId="6" r:id="rId6"/>
    <sheet name="Team Roster" sheetId="7" r:id="rId7"/>
    <sheet name="CapEx Detail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8" l="1" a="1"/>
  <c r="K27" i="8" s="1"/>
  <c r="J15" i="8" a="1"/>
  <c r="J15" i="8" s="1"/>
  <c r="I15" i="8" a="1"/>
  <c r="I15" i="8" s="1"/>
  <c r="G27" i="3" s="1" a="1"/>
  <c r="G27" i="3" s="1"/>
  <c r="H15" i="8" a="1"/>
  <c r="H15" i="8" s="1"/>
  <c r="F27" i="3" s="1" a="1"/>
  <c r="F27" i="3" s="1"/>
  <c r="G15" i="8" a="1"/>
  <c r="G15" i="8" s="1"/>
  <c r="E27" i="3" s="1" a="1"/>
  <c r="E27" i="3" s="1"/>
  <c r="F15" i="8" a="1"/>
  <c r="F15" i="8" s="1"/>
  <c r="D27" i="3" s="1" a="1"/>
  <c r="D27" i="3" s="1"/>
  <c r="E15" i="8" a="1"/>
  <c r="E15" i="8" s="1"/>
  <c r="C27" i="3" s="1" a="1"/>
  <c r="C27" i="3" s="1"/>
  <c r="K14" i="8" a="1"/>
  <c r="K14" i="8" s="1"/>
  <c r="K13" i="8" a="1"/>
  <c r="K13" i="8" s="1"/>
  <c r="K12" i="8" a="1"/>
  <c r="K12" i="8" s="1"/>
  <c r="K11" i="8" a="1"/>
  <c r="K11" i="8" s="1"/>
  <c r="K10" i="8" a="1"/>
  <c r="K10" i="8" s="1"/>
  <c r="K9" i="8" a="1"/>
  <c r="K9" i="8" s="1"/>
  <c r="K8" i="8" a="1"/>
  <c r="K8" i="8" s="1"/>
  <c r="K7" i="8" a="1"/>
  <c r="K7" i="8" s="1"/>
  <c r="K6" i="8" a="1"/>
  <c r="K6" i="8" s="1"/>
  <c r="K69" i="7" a="1"/>
  <c r="K69" i="7" s="1"/>
  <c r="L68" i="7" a="1"/>
  <c r="L68" i="7" s="1"/>
  <c r="L67" i="7" a="1"/>
  <c r="L67" i="7" s="1"/>
  <c r="K67" i="7" a="1"/>
  <c r="K67" i="7" s="1"/>
  <c r="K68" i="7" s="1" a="1"/>
  <c r="K68" i="7" s="1"/>
  <c r="J67" i="7" a="1"/>
  <c r="J67" i="7"/>
  <c r="I67" i="7" a="1"/>
  <c r="I67" i="7"/>
  <c r="I37" i="7" s="1" a="1"/>
  <c r="I37" i="7" s="1"/>
  <c r="H67" i="7" a="1"/>
  <c r="H67" i="7"/>
  <c r="H37" i="7" s="1" a="1"/>
  <c r="H37" i="7" s="1"/>
  <c r="L66" i="7" a="1"/>
  <c r="L66" i="7" s="1"/>
  <c r="K66" i="7" a="1"/>
  <c r="K66" i="7" s="1"/>
  <c r="K36" i="7" s="1" a="1"/>
  <c r="K36" i="7" s="1"/>
  <c r="J66" i="7" a="1"/>
  <c r="J66" i="7"/>
  <c r="I66" i="7" a="1"/>
  <c r="I66" i="7" s="1"/>
  <c r="H66" i="7" a="1"/>
  <c r="H66" i="7" s="1"/>
  <c r="G66" i="7" a="1"/>
  <c r="G66" i="7"/>
  <c r="G68" i="7" s="1" a="1"/>
  <c r="G68" i="7" s="1"/>
  <c r="I56" i="7" a="1"/>
  <c r="I56" i="7" s="1"/>
  <c r="I57" i="7" s="1" a="1"/>
  <c r="I57" i="7" s="1"/>
  <c r="K37" i="7" a="1"/>
  <c r="K37" i="7" s="1"/>
  <c r="J37" i="7" a="1"/>
  <c r="J37" i="7" s="1"/>
  <c r="G37" i="7" a="1"/>
  <c r="G37" i="7" s="1"/>
  <c r="L36" i="7" a="1"/>
  <c r="L36" i="7" s="1"/>
  <c r="I36" i="7" a="1"/>
  <c r="I36" i="7"/>
  <c r="I38" i="7" s="1" a="1"/>
  <c r="I38" i="7" s="1"/>
  <c r="E13" i="3" s="1" a="1"/>
  <c r="E13" i="3" s="1"/>
  <c r="H36" i="7" a="1"/>
  <c r="H36" i="7" s="1"/>
  <c r="L31" i="7" a="1"/>
  <c r="L31" i="7"/>
  <c r="K31" i="7" a="1"/>
  <c r="K31" i="7"/>
  <c r="J31" i="7" a="1"/>
  <c r="J31" i="7" s="1"/>
  <c r="I31" i="7" a="1"/>
  <c r="I31" i="7" s="1"/>
  <c r="M31" i="7" s="1" a="1"/>
  <c r="M31" i="7" s="1"/>
  <c r="H31" i="7" a="1"/>
  <c r="H31" i="7"/>
  <c r="G31" i="7" a="1"/>
  <c r="G31" i="7" s="1"/>
  <c r="L30" i="7" a="1"/>
  <c r="L30" i="7" s="1"/>
  <c r="K30" i="7" a="1"/>
  <c r="K30" i="7"/>
  <c r="J30" i="7" a="1"/>
  <c r="J30" i="7"/>
  <c r="I30" i="7" a="1"/>
  <c r="I30" i="7" s="1"/>
  <c r="H30" i="7" a="1"/>
  <c r="H30" i="7" s="1"/>
  <c r="M30" i="7" s="1" a="1"/>
  <c r="M30" i="7" s="1"/>
  <c r="G30" i="7" a="1"/>
  <c r="G30" i="7" s="1"/>
  <c r="M29" i="7" a="1"/>
  <c r="M29" i="7" s="1"/>
  <c r="L29" i="7" a="1"/>
  <c r="L29" i="7"/>
  <c r="K29" i="7" a="1"/>
  <c r="K29" i="7"/>
  <c r="J29" i="7" a="1"/>
  <c r="J29" i="7"/>
  <c r="I29" i="7" a="1"/>
  <c r="I29" i="7"/>
  <c r="H29" i="7" a="1"/>
  <c r="H29" i="7" s="1"/>
  <c r="G29" i="7" a="1"/>
  <c r="G29" i="7" s="1"/>
  <c r="L28" i="7" a="1"/>
  <c r="L28" i="7"/>
  <c r="K28" i="7" a="1"/>
  <c r="K28" i="7"/>
  <c r="J28" i="7" a="1"/>
  <c r="J28" i="7"/>
  <c r="I28" i="7" a="1"/>
  <c r="I28" i="7"/>
  <c r="H28" i="7" a="1"/>
  <c r="H28" i="7"/>
  <c r="G28" i="7" a="1"/>
  <c r="G28" i="7" s="1"/>
  <c r="L27" i="7" a="1"/>
  <c r="L27" i="7" s="1"/>
  <c r="K27" i="7" a="1"/>
  <c r="K27" i="7"/>
  <c r="J27" i="7" a="1"/>
  <c r="J27" i="7"/>
  <c r="I27" i="7" a="1"/>
  <c r="I27" i="7"/>
  <c r="H27" i="7" a="1"/>
  <c r="H27" i="7"/>
  <c r="G27" i="7" a="1"/>
  <c r="G27" i="7" s="1"/>
  <c r="L26" i="7" a="1"/>
  <c r="L26" i="7" s="1"/>
  <c r="K26" i="7" a="1"/>
  <c r="K26" i="7" s="1"/>
  <c r="J26" i="7" a="1"/>
  <c r="J26" i="7"/>
  <c r="I26" i="7" a="1"/>
  <c r="I26" i="7"/>
  <c r="H26" i="7" a="1"/>
  <c r="H26" i="7"/>
  <c r="M26" i="7" s="1" a="1"/>
  <c r="M26" i="7" s="1"/>
  <c r="G26" i="7" a="1"/>
  <c r="G26" i="7" s="1"/>
  <c r="L25" i="7" a="1"/>
  <c r="L25" i="7"/>
  <c r="K25" i="7" a="1"/>
  <c r="K25" i="7" s="1"/>
  <c r="J25" i="7" a="1"/>
  <c r="J25" i="7" s="1"/>
  <c r="I25" i="7" a="1"/>
  <c r="I25" i="7"/>
  <c r="H25" i="7" a="1"/>
  <c r="H25" i="7" s="1"/>
  <c r="M25" i="7" s="1" a="1"/>
  <c r="M25" i="7" s="1"/>
  <c r="G25" i="7" a="1"/>
  <c r="G25" i="7" s="1"/>
  <c r="L24" i="7" a="1"/>
  <c r="L24" i="7"/>
  <c r="K24" i="7" a="1"/>
  <c r="K24" i="7"/>
  <c r="M24" i="7" s="1" a="1"/>
  <c r="M24" i="7" s="1"/>
  <c r="J24" i="7" a="1"/>
  <c r="J24" i="7" s="1"/>
  <c r="I24" i="7" a="1"/>
  <c r="I24" i="7" s="1"/>
  <c r="H24" i="7" a="1"/>
  <c r="H24" i="7"/>
  <c r="G24" i="7" a="1"/>
  <c r="G24" i="7" s="1"/>
  <c r="L23" i="7" a="1"/>
  <c r="L23" i="7" s="1"/>
  <c r="K23" i="7" a="1"/>
  <c r="K23" i="7"/>
  <c r="J23" i="7" a="1"/>
  <c r="J23" i="7"/>
  <c r="I23" i="7" a="1"/>
  <c r="I23" i="7" s="1"/>
  <c r="H23" i="7" a="1"/>
  <c r="H23" i="7" s="1"/>
  <c r="G23" i="7" a="1"/>
  <c r="G23" i="7" s="1"/>
  <c r="L22" i="7" a="1"/>
  <c r="L22" i="7"/>
  <c r="K22" i="7" a="1"/>
  <c r="K22" i="7" s="1"/>
  <c r="J22" i="7" a="1"/>
  <c r="J22" i="7"/>
  <c r="I22" i="7" a="1"/>
  <c r="I22" i="7"/>
  <c r="H22" i="7" a="1"/>
  <c r="H22" i="7" s="1"/>
  <c r="G22" i="7" a="1"/>
  <c r="G22" i="7" s="1"/>
  <c r="L21" i="7" a="1"/>
  <c r="L21" i="7"/>
  <c r="K21" i="7" a="1"/>
  <c r="K21" i="7" s="1"/>
  <c r="J21" i="7" a="1"/>
  <c r="J21" i="7"/>
  <c r="I21" i="7" a="1"/>
  <c r="I21" i="7"/>
  <c r="H21" i="7" a="1"/>
  <c r="H21" i="7"/>
  <c r="G21" i="7" a="1"/>
  <c r="G21" i="7" s="1"/>
  <c r="L20" i="7" a="1"/>
  <c r="L20" i="7" s="1"/>
  <c r="K20" i="7" a="1"/>
  <c r="K20" i="7"/>
  <c r="J20" i="7" a="1"/>
  <c r="J20" i="7" s="1"/>
  <c r="I20" i="7" a="1"/>
  <c r="I20" i="7" s="1"/>
  <c r="H20" i="7" a="1"/>
  <c r="H20" i="7"/>
  <c r="G20" i="7" a="1"/>
  <c r="G20" i="7" s="1"/>
  <c r="L19" i="7" a="1"/>
  <c r="L19" i="7" s="1"/>
  <c r="K19" i="7" a="1"/>
  <c r="K19" i="7" s="1"/>
  <c r="J19" i="7" a="1"/>
  <c r="J19" i="7"/>
  <c r="I19" i="7" a="1"/>
  <c r="I19" i="7"/>
  <c r="H19" i="7" a="1"/>
  <c r="H19" i="7" s="1"/>
  <c r="M19" i="7" s="1" a="1"/>
  <c r="M19" i="7" s="1"/>
  <c r="G19" i="7" a="1"/>
  <c r="G19" i="7" s="1"/>
  <c r="L18" i="7" a="1"/>
  <c r="L18" i="7"/>
  <c r="K18" i="7" a="1"/>
  <c r="K18" i="7" s="1"/>
  <c r="J18" i="7" a="1"/>
  <c r="J18" i="7" s="1"/>
  <c r="I18" i="7" a="1"/>
  <c r="I18" i="7"/>
  <c r="H18" i="7" a="1"/>
  <c r="H18" i="7"/>
  <c r="G18" i="7" a="1"/>
  <c r="G18" i="7" s="1"/>
  <c r="M18" i="7" s="1" a="1"/>
  <c r="M18" i="7" s="1"/>
  <c r="L17" i="7" a="1"/>
  <c r="L17" i="7"/>
  <c r="M17" i="7" s="1" a="1"/>
  <c r="M17" i="7" s="1"/>
  <c r="K17" i="7" a="1"/>
  <c r="K17" i="7"/>
  <c r="J17" i="7" a="1"/>
  <c r="J17" i="7" s="1"/>
  <c r="I17" i="7" a="1"/>
  <c r="I17" i="7" s="1"/>
  <c r="H17" i="7" a="1"/>
  <c r="H17" i="7"/>
  <c r="G17" i="7" a="1"/>
  <c r="G17" i="7" s="1"/>
  <c r="L16" i="7" a="1"/>
  <c r="L16" i="7"/>
  <c r="K16" i="7" a="1"/>
  <c r="K16" i="7"/>
  <c r="J16" i="7" a="1"/>
  <c r="J16" i="7"/>
  <c r="M16" i="7" s="1" a="1"/>
  <c r="M16" i="7" s="1"/>
  <c r="I16" i="7" a="1"/>
  <c r="I16" i="7" s="1"/>
  <c r="H16" i="7" a="1"/>
  <c r="H16" i="7" s="1"/>
  <c r="G16" i="7" a="1"/>
  <c r="G16" i="7" s="1"/>
  <c r="L15" i="7" a="1"/>
  <c r="L15" i="7" s="1"/>
  <c r="K15" i="7" a="1"/>
  <c r="K15" i="7" s="1"/>
  <c r="J15" i="7" a="1"/>
  <c r="J15" i="7"/>
  <c r="I15" i="7" a="1"/>
  <c r="I15" i="7"/>
  <c r="H15" i="7" a="1"/>
  <c r="H15" i="7" s="1"/>
  <c r="G15" i="7" a="1"/>
  <c r="G15" i="7" s="1"/>
  <c r="L14" i="7" a="1"/>
  <c r="L14" i="7"/>
  <c r="K14" i="7" a="1"/>
  <c r="K14" i="7" s="1"/>
  <c r="J14" i="7" a="1"/>
  <c r="J14" i="7" s="1"/>
  <c r="I14" i="7" a="1"/>
  <c r="I14" i="7"/>
  <c r="H14" i="7" a="1"/>
  <c r="H14" i="7"/>
  <c r="G14" i="7" a="1"/>
  <c r="G14" i="7" s="1"/>
  <c r="L13" i="7" a="1"/>
  <c r="L13" i="7" s="1"/>
  <c r="K13" i="7" a="1"/>
  <c r="K13" i="7"/>
  <c r="J13" i="7" a="1"/>
  <c r="J13" i="7" s="1"/>
  <c r="I13" i="7" a="1"/>
  <c r="I13" i="7"/>
  <c r="H13" i="7" a="1"/>
  <c r="H13" i="7"/>
  <c r="G13" i="7" a="1"/>
  <c r="G13" i="7" s="1"/>
  <c r="L12" i="7" a="1"/>
  <c r="L12" i="7" s="1"/>
  <c r="K12" i="7" a="1"/>
  <c r="K12" i="7" s="1"/>
  <c r="J12" i="7" a="1"/>
  <c r="J12" i="7"/>
  <c r="I12" i="7" a="1"/>
  <c r="I12" i="7" s="1"/>
  <c r="H12" i="7" a="1"/>
  <c r="H12" i="7" s="1"/>
  <c r="M12" i="7" s="1" a="1"/>
  <c r="M12" i="7" s="1"/>
  <c r="G12" i="7" a="1"/>
  <c r="G12" i="7" s="1"/>
  <c r="L11" i="7" a="1"/>
  <c r="L11" i="7" s="1"/>
  <c r="K11" i="7" a="1"/>
  <c r="K11" i="7" s="1"/>
  <c r="J11" i="7" a="1"/>
  <c r="J11" i="7" s="1"/>
  <c r="I11" i="7" a="1"/>
  <c r="I11" i="7"/>
  <c r="H11" i="7" a="1"/>
  <c r="H11" i="7"/>
  <c r="G11" i="7" a="1"/>
  <c r="G11" i="7" s="1"/>
  <c r="M11" i="7" s="1" a="1"/>
  <c r="M11" i="7" s="1"/>
  <c r="M10" i="7" a="1"/>
  <c r="M10" i="7" s="1"/>
  <c r="L10" i="7" a="1"/>
  <c r="L10" i="7"/>
  <c r="K10" i="7" a="1"/>
  <c r="K10" i="7"/>
  <c r="J10" i="7" a="1"/>
  <c r="J10" i="7" s="1"/>
  <c r="I10" i="7" a="1"/>
  <c r="I10" i="7" s="1"/>
  <c r="H10" i="7" a="1"/>
  <c r="H10" i="7"/>
  <c r="G10" i="7" a="1"/>
  <c r="G10" i="7" s="1"/>
  <c r="L9" i="7" a="1"/>
  <c r="L9" i="7"/>
  <c r="K9" i="7" a="1"/>
  <c r="K9" i="7"/>
  <c r="J9" i="7" a="1"/>
  <c r="J9" i="7" s="1"/>
  <c r="M9" i="7" s="1" a="1"/>
  <c r="M9" i="7" s="1"/>
  <c r="I9" i="7" a="1"/>
  <c r="I9" i="7" s="1"/>
  <c r="H9" i="7" a="1"/>
  <c r="H9" i="7" s="1"/>
  <c r="G9" i="7" a="1"/>
  <c r="G9" i="7" s="1"/>
  <c r="L8" i="7" a="1"/>
  <c r="L8" i="7" s="1"/>
  <c r="K8" i="7" a="1"/>
  <c r="K8" i="7"/>
  <c r="J8" i="7" a="1"/>
  <c r="J8" i="7"/>
  <c r="I8" i="7" a="1"/>
  <c r="I8" i="7" s="1"/>
  <c r="M8" i="7" s="1" a="1"/>
  <c r="M8" i="7" s="1"/>
  <c r="H8" i="7" a="1"/>
  <c r="H8" i="7" s="1"/>
  <c r="G8" i="7" a="1"/>
  <c r="G8" i="7" s="1"/>
  <c r="L7" i="7" a="1"/>
  <c r="L7" i="7"/>
  <c r="K7" i="7" a="1"/>
  <c r="K7" i="7" s="1"/>
  <c r="J7" i="7" a="1"/>
  <c r="J7" i="7" s="1"/>
  <c r="I7" i="7" a="1"/>
  <c r="I7" i="7"/>
  <c r="H7" i="7" a="1"/>
  <c r="H7" i="7"/>
  <c r="G7" i="7" a="1"/>
  <c r="G7" i="7" s="1"/>
  <c r="L6" i="7" a="1"/>
  <c r="L6" i="7"/>
  <c r="K6" i="7" a="1"/>
  <c r="K6" i="7"/>
  <c r="J6" i="7" a="1"/>
  <c r="J6" i="7"/>
  <c r="I6" i="7" a="1"/>
  <c r="I6" i="7"/>
  <c r="H6" i="7" a="1"/>
  <c r="H6" i="7"/>
  <c r="G6" i="7" a="1"/>
  <c r="G6" i="7" s="1"/>
  <c r="M6" i="7" s="1" a="1"/>
  <c r="M6" i="7" s="1"/>
  <c r="D80" i="6" a="1"/>
  <c r="D80" i="6" s="1"/>
  <c r="D24" i="3" s="1" a="1"/>
  <c r="D24" i="3" s="1"/>
  <c r="C80" i="6" a="1"/>
  <c r="C80" i="6" s="1"/>
  <c r="C24" i="3" s="1" a="1"/>
  <c r="C24" i="3" s="1"/>
  <c r="H76" i="6" a="1"/>
  <c r="H76" i="6" s="1"/>
  <c r="G76" i="6" a="1"/>
  <c r="G76" i="6"/>
  <c r="F76" i="6" a="1"/>
  <c r="F76" i="6"/>
  <c r="E76" i="6" a="1"/>
  <c r="E76" i="6"/>
  <c r="D76" i="6" a="1"/>
  <c r="D76" i="6"/>
  <c r="C76" i="6" a="1"/>
  <c r="C76" i="6" s="1"/>
  <c r="C73" i="6" a="1"/>
  <c r="C73" i="6" s="1"/>
  <c r="E62" i="6" a="1"/>
  <c r="E62" i="6"/>
  <c r="E7" i="3" s="1" a="1"/>
  <c r="E7" i="3" s="1"/>
  <c r="C57" i="6" a="1"/>
  <c r="C57" i="6" s="1"/>
  <c r="B57" i="6" a="1"/>
  <c r="B57" i="6" s="1"/>
  <c r="B56" i="6" a="1"/>
  <c r="B56" i="6" s="1"/>
  <c r="C55" i="6" a="1"/>
  <c r="C55" i="6" s="1"/>
  <c r="B55" i="6" a="1"/>
  <c r="B55" i="6" s="1"/>
  <c r="B54" i="6" a="1"/>
  <c r="B54" i="6"/>
  <c r="B53" i="6" a="1"/>
  <c r="B53" i="6"/>
  <c r="E52" i="6" a="1"/>
  <c r="E52" i="6"/>
  <c r="C52" i="6" a="1"/>
  <c r="C52" i="6"/>
  <c r="B52" i="6" a="1"/>
  <c r="B52" i="6" s="1"/>
  <c r="C51" i="6" a="1"/>
  <c r="C51" i="6" s="1"/>
  <c r="H50" i="6" a="1"/>
  <c r="H50" i="6" s="1"/>
  <c r="G50" i="6" a="1"/>
  <c r="G50" i="6" s="1"/>
  <c r="F50" i="6" a="1"/>
  <c r="F50" i="6" s="1"/>
  <c r="E50" i="6" a="1"/>
  <c r="E50" i="6" s="1"/>
  <c r="D50" i="6" a="1"/>
  <c r="D50" i="6" s="1"/>
  <c r="I50" i="6" s="1" a="1"/>
  <c r="I50" i="6" s="1"/>
  <c r="C50" i="6" a="1"/>
  <c r="C50" i="6"/>
  <c r="B50" i="6" a="1"/>
  <c r="B50" i="6"/>
  <c r="H49" i="6" a="1"/>
  <c r="H49" i="6" s="1"/>
  <c r="G49" i="6" a="1"/>
  <c r="G49" i="6"/>
  <c r="F49" i="6" a="1"/>
  <c r="F49" i="6"/>
  <c r="E49" i="6" a="1"/>
  <c r="E49" i="6" s="1"/>
  <c r="D49" i="6" a="1"/>
  <c r="D49" i="6"/>
  <c r="C49" i="6" a="1"/>
  <c r="C49" i="6"/>
  <c r="B49" i="6" a="1"/>
  <c r="B49" i="6" s="1"/>
  <c r="H48" i="6" a="1"/>
  <c r="H48" i="6"/>
  <c r="G48" i="6" a="1"/>
  <c r="G48" i="6"/>
  <c r="F48" i="6" a="1"/>
  <c r="F48" i="6"/>
  <c r="E48" i="6" a="1"/>
  <c r="E48" i="6" s="1"/>
  <c r="D48" i="6" a="1"/>
  <c r="D48" i="6" s="1"/>
  <c r="C48" i="6" a="1"/>
  <c r="C48" i="6"/>
  <c r="B48" i="6" a="1"/>
  <c r="B48" i="6" s="1"/>
  <c r="H47" i="6" a="1"/>
  <c r="H47" i="6"/>
  <c r="G47" i="6" a="1"/>
  <c r="G47" i="6" s="1"/>
  <c r="F47" i="6" a="1"/>
  <c r="F47" i="6" s="1"/>
  <c r="E47" i="6" a="1"/>
  <c r="E47" i="6"/>
  <c r="D47" i="6" a="1"/>
  <c r="D47" i="6" s="1"/>
  <c r="C47" i="6" a="1"/>
  <c r="C47" i="6" s="1"/>
  <c r="B47" i="6" a="1"/>
  <c r="B47" i="6"/>
  <c r="H46" i="6" a="1"/>
  <c r="H46" i="6"/>
  <c r="G46" i="6" a="1"/>
  <c r="G46" i="6"/>
  <c r="F46" i="6" a="1"/>
  <c r="F46" i="6"/>
  <c r="E46" i="6" a="1"/>
  <c r="E46" i="6"/>
  <c r="D46" i="6" a="1"/>
  <c r="D46" i="6" s="1"/>
  <c r="C46" i="6" a="1"/>
  <c r="C46" i="6" s="1"/>
  <c r="B46" i="6" a="1"/>
  <c r="B46" i="6" s="1"/>
  <c r="H45" i="6" a="1"/>
  <c r="H45" i="6" s="1"/>
  <c r="G45" i="6" a="1"/>
  <c r="G45" i="6"/>
  <c r="G52" i="6" s="1" a="1"/>
  <c r="G52" i="6" s="1"/>
  <c r="F45" i="6" a="1"/>
  <c r="F45" i="6"/>
  <c r="E45" i="6" a="1"/>
  <c r="E45" i="6" s="1"/>
  <c r="D45" i="6" a="1"/>
  <c r="D45" i="6" s="1"/>
  <c r="C45" i="6" a="1"/>
  <c r="C45" i="6"/>
  <c r="B45" i="6" a="1"/>
  <c r="B45" i="6"/>
  <c r="C41" i="6" a="1"/>
  <c r="C41" i="6" s="1"/>
  <c r="D41" i="6" s="1" a="1"/>
  <c r="D41" i="6" s="1"/>
  <c r="B41" i="6" a="1"/>
  <c r="B41" i="6" s="1"/>
  <c r="C40" i="6" a="1"/>
  <c r="C40" i="6"/>
  <c r="D40" i="6" s="1" a="1"/>
  <c r="D40" i="6" s="1"/>
  <c r="B40" i="6" a="1"/>
  <c r="B40" i="6"/>
  <c r="C39" i="6" a="1"/>
  <c r="C39" i="6"/>
  <c r="D39" i="6" s="1" a="1"/>
  <c r="D39" i="6" s="1"/>
  <c r="B39" i="6" a="1"/>
  <c r="B39" i="6" s="1"/>
  <c r="C38" i="6" a="1"/>
  <c r="C38" i="6" s="1"/>
  <c r="B38" i="6" a="1"/>
  <c r="B38" i="6" s="1"/>
  <c r="C37" i="6" a="1"/>
  <c r="C37" i="6" s="1"/>
  <c r="B37" i="6" a="1"/>
  <c r="B37" i="6" s="1"/>
  <c r="C36" i="6" a="1"/>
  <c r="C36" i="6" s="1"/>
  <c r="D36" i="6" s="1" a="1"/>
  <c r="D36" i="6" s="1"/>
  <c r="E36" i="6" s="1" a="1"/>
  <c r="E36" i="6" s="1"/>
  <c r="F36" i="6" s="1" a="1"/>
  <c r="F36" i="6" s="1"/>
  <c r="G36" i="6" s="1" a="1"/>
  <c r="G36" i="6" s="1"/>
  <c r="H36" i="6" s="1" a="1"/>
  <c r="H36" i="6" s="1"/>
  <c r="B36" i="6" a="1"/>
  <c r="B36" i="6"/>
  <c r="B22" i="6" a="1"/>
  <c r="B22" i="6"/>
  <c r="B21" i="6" a="1"/>
  <c r="B21" i="6"/>
  <c r="B20" i="6" a="1"/>
  <c r="B20" i="6"/>
  <c r="B19" i="6" a="1"/>
  <c r="B19" i="6" s="1"/>
  <c r="B18" i="6" a="1"/>
  <c r="B18" i="6" s="1"/>
  <c r="B17" i="6" a="1"/>
  <c r="B17" i="6"/>
  <c r="H13" i="6" a="1"/>
  <c r="H13" i="6"/>
  <c r="H62" i="6" s="1" a="1"/>
  <c r="H62" i="6" s="1"/>
  <c r="H7" i="3" s="1" a="1"/>
  <c r="H7" i="3" s="1"/>
  <c r="G13" i="6" a="1"/>
  <c r="G13" i="6" s="1"/>
  <c r="G62" i="6" s="1" a="1"/>
  <c r="G62" i="6" s="1"/>
  <c r="G7" i="3" s="1" a="1"/>
  <c r="G7" i="3" s="1"/>
  <c r="F13" i="6" a="1"/>
  <c r="F13" i="6" s="1"/>
  <c r="E13" i="6" a="1"/>
  <c r="E13" i="6" s="1"/>
  <c r="E72" i="6" s="1" a="1"/>
  <c r="E72" i="6" s="1"/>
  <c r="D13" i="6" a="1"/>
  <c r="D13" i="6"/>
  <c r="D72" i="6" s="1" a="1"/>
  <c r="D72" i="6" s="1"/>
  <c r="C13" i="6" a="1"/>
  <c r="C13" i="6" s="1"/>
  <c r="I12" i="6" a="1"/>
  <c r="I12" i="6" s="1"/>
  <c r="B12" i="6" a="1"/>
  <c r="B12" i="6" s="1"/>
  <c r="I11" i="6" a="1"/>
  <c r="I11" i="6"/>
  <c r="B11" i="6" a="1"/>
  <c r="B11" i="6"/>
  <c r="I10" i="6" a="1"/>
  <c r="I10" i="6" s="1"/>
  <c r="B10" i="6" a="1"/>
  <c r="B10" i="6"/>
  <c r="I9" i="6" a="1"/>
  <c r="I9" i="6"/>
  <c r="B9" i="6" a="1"/>
  <c r="B9" i="6" s="1"/>
  <c r="I8" i="6" a="1"/>
  <c r="I8" i="6"/>
  <c r="B8" i="6" a="1"/>
  <c r="B8" i="6"/>
  <c r="I7" i="6" a="1"/>
  <c r="I7" i="6" s="1"/>
  <c r="I13" i="6" s="1" a="1"/>
  <c r="I13" i="6" s="1"/>
  <c r="B7" i="6" a="1"/>
  <c r="B7" i="6" s="1"/>
  <c r="F11" i="5" a="1"/>
  <c r="F11" i="5" s="1"/>
  <c r="F10" i="5" a="1"/>
  <c r="F10" i="5"/>
  <c r="F9" i="5" a="1"/>
  <c r="F9" i="5" s="1"/>
  <c r="F8" i="5" a="1"/>
  <c r="F8" i="5" s="1"/>
  <c r="F7" i="5" a="1"/>
  <c r="F7" i="5" s="1"/>
  <c r="F6" i="5" a="1"/>
  <c r="F6" i="5"/>
  <c r="E6" i="5" a="1"/>
  <c r="E6" i="5" s="1"/>
  <c r="H27" i="3" a="1"/>
  <c r="H27" i="3" s="1"/>
  <c r="D22" i="2" a="1"/>
  <c r="D22" i="2" s="1"/>
  <c r="E18" i="8" l="1" a="1"/>
  <c r="E18" i="8" s="1"/>
  <c r="F18" i="8" s="1" a="1"/>
  <c r="F18" i="8" s="1"/>
  <c r="G18" i="8" s="1" a="1"/>
  <c r="G18" i="8" s="1"/>
  <c r="H18" i="8" s="1" a="1"/>
  <c r="H18" i="8" s="1"/>
  <c r="I18" i="8" s="1" a="1"/>
  <c r="I18" i="8" s="1"/>
  <c r="J18" i="8" s="1" a="1"/>
  <c r="J18" i="8" s="1"/>
  <c r="I27" i="3" a="1"/>
  <c r="I27" i="3" s="1"/>
  <c r="K15" i="8" a="1"/>
  <c r="K15" i="8" s="1"/>
  <c r="D57" i="6" a="1"/>
  <c r="D57" i="6" s="1"/>
  <c r="E41" i="6" a="1"/>
  <c r="E41" i="6" s="1"/>
  <c r="D21" i="2" a="1"/>
  <c r="D21" i="2" s="1"/>
  <c r="K26" i="8" a="1"/>
  <c r="K26" i="8" s="1"/>
  <c r="K28" i="8" s="1" a="1"/>
  <c r="K28" i="8" s="1"/>
  <c r="K32" i="7" a="1"/>
  <c r="K32" i="7" s="1"/>
  <c r="G17" i="3" s="1" a="1"/>
  <c r="G17" i="3" s="1"/>
  <c r="D37" i="6" a="1"/>
  <c r="D37" i="6" s="1"/>
  <c r="C53" i="6" a="1"/>
  <c r="C53" i="6" s="1"/>
  <c r="F51" i="6" a="1"/>
  <c r="F51" i="6" s="1"/>
  <c r="H38" i="7" a="1"/>
  <c r="H38" i="7" s="1"/>
  <c r="D13" i="3" s="1" a="1"/>
  <c r="D13" i="3" s="1"/>
  <c r="H56" i="7" a="1"/>
  <c r="H56" i="7" s="1"/>
  <c r="H57" i="7" s="1" a="1"/>
  <c r="H57" i="7" s="1"/>
  <c r="C54" i="6" a="1"/>
  <c r="C54" i="6" s="1"/>
  <c r="C58" i="6" s="1" a="1"/>
  <c r="C58" i="6" s="1"/>
  <c r="D38" i="6" a="1"/>
  <c r="D38" i="6" s="1"/>
  <c r="I45" i="6" a="1"/>
  <c r="I45" i="6" s="1"/>
  <c r="D51" i="6" a="1"/>
  <c r="D51" i="6" s="1"/>
  <c r="D52" i="6" a="1"/>
  <c r="D52" i="6" s="1"/>
  <c r="E51" i="6" a="1"/>
  <c r="E51" i="6" s="1"/>
  <c r="E39" i="6" a="1"/>
  <c r="E39" i="6" s="1"/>
  <c r="D55" i="6" a="1"/>
  <c r="D55" i="6" s="1"/>
  <c r="C8" i="3" a="1"/>
  <c r="C8" i="3" s="1"/>
  <c r="C63" i="6" a="1"/>
  <c r="C63" i="6" s="1"/>
  <c r="M15" i="7" a="1"/>
  <c r="M15" i="7" s="1"/>
  <c r="D10" i="2" a="1"/>
  <c r="D10" i="2" s="1"/>
  <c r="C72" i="6" a="1"/>
  <c r="C72" i="6" s="1"/>
  <c r="C62" i="6" a="1"/>
  <c r="C62" i="6" s="1"/>
  <c r="M23" i="7" a="1"/>
  <c r="M23" i="7" s="1"/>
  <c r="D56" i="6" a="1"/>
  <c r="D56" i="6" s="1"/>
  <c r="E40" i="6" a="1"/>
  <c r="E40" i="6" s="1"/>
  <c r="H52" i="6" a="1"/>
  <c r="H52" i="6" s="1"/>
  <c r="H51" i="6" a="1"/>
  <c r="H51" i="6" s="1"/>
  <c r="C75" i="6" a="1"/>
  <c r="C75" i="6" s="1"/>
  <c r="C77" i="6" s="1" a="1"/>
  <c r="C77" i="6" s="1"/>
  <c r="D74" i="6" a="1"/>
  <c r="D74" i="6" s="1"/>
  <c r="D73" i="6" a="1"/>
  <c r="D73" i="6" s="1"/>
  <c r="H32" i="7" a="1"/>
  <c r="H32" i="7" s="1"/>
  <c r="D17" i="3" s="1" a="1"/>
  <c r="D17" i="3" s="1"/>
  <c r="M22" i="7" a="1"/>
  <c r="M22" i="7" s="1"/>
  <c r="I46" i="6" a="1"/>
  <c r="I46" i="6" s="1"/>
  <c r="G72" i="6" a="1"/>
  <c r="G72" i="6" s="1"/>
  <c r="K56" i="7" a="1"/>
  <c r="K56" i="7" s="1"/>
  <c r="K57" i="7" s="1" a="1"/>
  <c r="K57" i="7" s="1"/>
  <c r="K38" i="7" a="1"/>
  <c r="K38" i="7" s="1"/>
  <c r="G13" i="3" s="1" a="1"/>
  <c r="G13" i="3" s="1"/>
  <c r="H72" i="6" a="1"/>
  <c r="H72" i="6" s="1"/>
  <c r="M7" i="7" a="1"/>
  <c r="M7" i="7" s="1"/>
  <c r="M14" i="7" a="1"/>
  <c r="M14" i="7" s="1"/>
  <c r="L56" i="7" a="1"/>
  <c r="L56" i="7" s="1"/>
  <c r="L57" i="7" s="1" a="1"/>
  <c r="L57" i="7" s="1"/>
  <c r="D33" i="2" s="1" a="1"/>
  <c r="D33" i="2" s="1"/>
  <c r="C56" i="6" a="1"/>
  <c r="C56" i="6" s="1"/>
  <c r="F72" i="6" a="1"/>
  <c r="F72" i="6" s="1"/>
  <c r="F62" i="6" a="1"/>
  <c r="F62" i="6" s="1"/>
  <c r="F7" i="3" s="1" a="1"/>
  <c r="F7" i="3" s="1"/>
  <c r="M21" i="7" a="1"/>
  <c r="M21" i="7" s="1"/>
  <c r="D62" i="6" a="1"/>
  <c r="D62" i="6" s="1"/>
  <c r="D7" i="3" s="1" a="1"/>
  <c r="D7" i="3" s="1"/>
  <c r="I32" i="7" a="1"/>
  <c r="I32" i="7" s="1"/>
  <c r="E17" i="3" s="1" a="1"/>
  <c r="E17" i="3" s="1"/>
  <c r="M13" i="7" a="1"/>
  <c r="M13" i="7" s="1"/>
  <c r="M32" i="7" s="1" a="1"/>
  <c r="M32" i="7" s="1"/>
  <c r="M28" i="7" a="1"/>
  <c r="M28" i="7" s="1"/>
  <c r="G32" i="7" a="1"/>
  <c r="G32" i="7" s="1"/>
  <c r="C17" i="3" s="1" a="1"/>
  <c r="C17" i="3" s="1"/>
  <c r="J32" i="7" a="1"/>
  <c r="J32" i="7" s="1"/>
  <c r="F17" i="3" s="1" a="1"/>
  <c r="F17" i="3" s="1"/>
  <c r="L37" i="7" a="1"/>
  <c r="L37" i="7" s="1"/>
  <c r="L69" i="7" a="1"/>
  <c r="L69" i="7" s="1"/>
  <c r="I48" i="6" a="1"/>
  <c r="I48" i="6" s="1"/>
  <c r="H68" i="7" a="1"/>
  <c r="H68" i="7" s="1"/>
  <c r="H69" i="7" a="1"/>
  <c r="H69" i="7" s="1"/>
  <c r="F52" i="6" a="1"/>
  <c r="F52" i="6" s="1"/>
  <c r="M20" i="7" a="1"/>
  <c r="M20" i="7" s="1"/>
  <c r="M27" i="7" a="1"/>
  <c r="M27" i="7" s="1"/>
  <c r="I69" i="7" a="1"/>
  <c r="I69" i="7" s="1"/>
  <c r="I68" i="7" a="1"/>
  <c r="I68" i="7" s="1"/>
  <c r="I49" i="6" a="1"/>
  <c r="I49" i="6" s="1"/>
  <c r="I47" i="6" a="1"/>
  <c r="I47" i="6" s="1"/>
  <c r="J69" i="7" a="1"/>
  <c r="J69" i="7" s="1"/>
  <c r="J36" i="7" a="1"/>
  <c r="J36" i="7" s="1"/>
  <c r="J68" i="7" a="1"/>
  <c r="J68" i="7" s="1"/>
  <c r="G51" i="6" a="1"/>
  <c r="G51" i="6" s="1"/>
  <c r="L32" i="7" a="1"/>
  <c r="L32" i="7" s="1"/>
  <c r="H17" i="3" s="1" a="1"/>
  <c r="H17" i="3" s="1"/>
  <c r="G36" i="7" a="1"/>
  <c r="G36" i="7" s="1"/>
  <c r="G69" i="7" a="1"/>
  <c r="G69" i="7" s="1"/>
  <c r="C64" i="6" l="1" a="1"/>
  <c r="C64" i="6" s="1"/>
  <c r="C11" i="3" a="1"/>
  <c r="C11" i="3" s="1"/>
  <c r="I17" i="3" a="1"/>
  <c r="I17" i="3" s="1"/>
  <c r="I72" i="6" a="1"/>
  <c r="I72" i="6" s="1"/>
  <c r="D54" i="6" a="1"/>
  <c r="D54" i="6" s="1"/>
  <c r="E38" i="6" a="1"/>
  <c r="E38" i="6" s="1"/>
  <c r="I62" i="6" a="1"/>
  <c r="I62" i="6" s="1"/>
  <c r="C7" i="3" a="1"/>
  <c r="C7" i="3" s="1"/>
  <c r="I7" i="3" s="1" a="1"/>
  <c r="I7" i="3" s="1"/>
  <c r="I63" i="6" a="1"/>
  <c r="I63" i="6" s="1"/>
  <c r="C65" i="6" a="1"/>
  <c r="C65" i="6" s="1"/>
  <c r="C9" i="3" a="1"/>
  <c r="C9" i="3" s="1"/>
  <c r="C78" i="6" a="1"/>
  <c r="C78" i="6" s="1"/>
  <c r="C79" i="6" a="1"/>
  <c r="C79" i="6" s="1"/>
  <c r="F63" i="6" a="1"/>
  <c r="F63" i="6" s="1"/>
  <c r="F8" i="3" a="1"/>
  <c r="F8" i="3" s="1"/>
  <c r="F39" i="6" a="1"/>
  <c r="F39" i="6" s="1"/>
  <c r="E55" i="6" a="1"/>
  <c r="E55" i="6" s="1"/>
  <c r="D8" i="3" a="1"/>
  <c r="D8" i="3" s="1"/>
  <c r="D63" i="6" a="1"/>
  <c r="D63" i="6" s="1"/>
  <c r="I51" i="6" a="1"/>
  <c r="I51" i="6" s="1"/>
  <c r="G38" i="7" a="1"/>
  <c r="G38" i="7" s="1"/>
  <c r="G56" i="7" a="1"/>
  <c r="G56" i="7" s="1"/>
  <c r="G57" i="7" s="1" a="1"/>
  <c r="G57" i="7" s="1"/>
  <c r="E37" i="6" a="1"/>
  <c r="E37" i="6" s="1"/>
  <c r="D53" i="6" a="1"/>
  <c r="D53" i="6" s="1"/>
  <c r="D58" i="6" s="1" a="1"/>
  <c r="D58" i="6" s="1"/>
  <c r="J38" i="7" a="1"/>
  <c r="J38" i="7" s="1"/>
  <c r="F13" i="3" s="1" a="1"/>
  <c r="F13" i="3" s="1"/>
  <c r="J56" i="7" a="1"/>
  <c r="J56" i="7" s="1"/>
  <c r="J57" i="7" s="1" a="1"/>
  <c r="J57" i="7" s="1"/>
  <c r="E56" i="6" a="1"/>
  <c r="E56" i="6" s="1"/>
  <c r="F40" i="6" a="1"/>
  <c r="F40" i="6" s="1"/>
  <c r="E8" i="3" a="1"/>
  <c r="E8" i="3" s="1"/>
  <c r="E63" i="6" a="1"/>
  <c r="E63" i="6" s="1"/>
  <c r="E57" i="6" a="1"/>
  <c r="E57" i="6" s="1"/>
  <c r="F41" i="6" a="1"/>
  <c r="F41" i="6" s="1"/>
  <c r="D75" i="6" a="1"/>
  <c r="D75" i="6" s="1"/>
  <c r="D77" i="6" s="1" a="1"/>
  <c r="D77" i="6" s="1"/>
  <c r="E74" i="6" a="1"/>
  <c r="E74" i="6" s="1"/>
  <c r="E73" i="6" a="1"/>
  <c r="E73" i="6" s="1"/>
  <c r="G42" i="7" a="1"/>
  <c r="G42" i="7" s="1"/>
  <c r="G46" i="7" s="1" a="1"/>
  <c r="G46" i="7" s="1"/>
  <c r="C10" i="3" a="1"/>
  <c r="C10" i="3" s="1"/>
  <c r="G63" i="6" a="1"/>
  <c r="G63" i="6" s="1"/>
  <c r="G8" i="3" a="1"/>
  <c r="G8" i="3" s="1"/>
  <c r="I52" i="6" a="1"/>
  <c r="I52" i="6" s="1"/>
  <c r="H63" i="6" a="1"/>
  <c r="H63" i="6" s="1"/>
  <c r="H8" i="3" a="1"/>
  <c r="H8" i="3" s="1"/>
  <c r="D34" i="2" a="1"/>
  <c r="D34" i="2" s="1"/>
  <c r="L38" i="7" a="1"/>
  <c r="L38" i="7" s="1"/>
  <c r="H13" i="3" s="1" a="1"/>
  <c r="H13" i="3" s="1"/>
  <c r="D64" i="6" l="1" a="1"/>
  <c r="D64" i="6" s="1"/>
  <c r="D67" i="6" s="1" a="1"/>
  <c r="D67" i="6" s="1"/>
  <c r="D68" i="6" s="1" a="1"/>
  <c r="D68" i="6" s="1"/>
  <c r="D11" i="3" a="1"/>
  <c r="D11" i="3" s="1"/>
  <c r="L42" i="7" a="1"/>
  <c r="L42" i="7" s="1"/>
  <c r="L46" i="7" s="1" a="1"/>
  <c r="L46" i="7" s="1"/>
  <c r="H18" i="3" s="1" a="1"/>
  <c r="H18" i="3" s="1"/>
  <c r="H19" i="3" s="1" a="1"/>
  <c r="H19" i="3" s="1"/>
  <c r="K42" i="7" a="1"/>
  <c r="K42" i="7" s="1"/>
  <c r="K46" i="7" s="1" a="1"/>
  <c r="K46" i="7" s="1"/>
  <c r="G18" i="3" s="1" a="1"/>
  <c r="G18" i="3" s="1"/>
  <c r="G19" i="3" s="1" a="1"/>
  <c r="G19" i="3" s="1"/>
  <c r="C18" i="3" a="1"/>
  <c r="C18" i="3" s="1"/>
  <c r="J42" i="7" a="1"/>
  <c r="J42" i="7" s="1"/>
  <c r="J46" i="7" s="1" a="1"/>
  <c r="J46" i="7" s="1"/>
  <c r="F18" i="3" s="1" a="1"/>
  <c r="F18" i="3" s="1"/>
  <c r="F19" i="3" s="1" a="1"/>
  <c r="F19" i="3" s="1"/>
  <c r="F73" i="6" a="1"/>
  <c r="F73" i="6" s="1"/>
  <c r="E75" i="6" a="1"/>
  <c r="E75" i="6" s="1"/>
  <c r="E77" i="6" s="1" a="1"/>
  <c r="E77" i="6" s="1"/>
  <c r="F74" i="6" a="1"/>
  <c r="F74" i="6" s="1"/>
  <c r="E80" i="6" a="1"/>
  <c r="E80" i="6" s="1"/>
  <c r="E24" i="3" s="1" a="1"/>
  <c r="E24" i="3" s="1"/>
  <c r="F37" i="6" a="1"/>
  <c r="F37" i="6" s="1"/>
  <c r="E53" i="6" a="1"/>
  <c r="E53" i="6" s="1"/>
  <c r="C12" i="3" a="1"/>
  <c r="C12" i="3" s="1"/>
  <c r="C14" i="3" s="1" a="1"/>
  <c r="C14" i="3" s="1"/>
  <c r="F57" i="6" a="1"/>
  <c r="F57" i="6" s="1"/>
  <c r="G41" i="6" a="1"/>
  <c r="G41" i="6" s="1"/>
  <c r="D9" i="3" a="1"/>
  <c r="D9" i="3" s="1"/>
  <c r="D78" i="6" a="1"/>
  <c r="D78" i="6" s="1"/>
  <c r="D12" i="3" s="1" a="1"/>
  <c r="D12" i="3" s="1"/>
  <c r="D79" i="6" a="1"/>
  <c r="D79" i="6" s="1"/>
  <c r="C13" i="3" a="1"/>
  <c r="C13" i="3" s="1"/>
  <c r="I13" i="3" s="1" a="1"/>
  <c r="I13" i="3" s="1"/>
  <c r="M38" i="7" a="1"/>
  <c r="M38" i="7" s="1"/>
  <c r="H42" i="7" a="1"/>
  <c r="H42" i="7" s="1"/>
  <c r="H46" i="7" s="1" a="1"/>
  <c r="H46" i="7" s="1"/>
  <c r="D18" i="3" s="1" a="1"/>
  <c r="D18" i="3" s="1"/>
  <c r="D19" i="3" s="1" a="1"/>
  <c r="D19" i="3" s="1"/>
  <c r="D10" i="3" a="1"/>
  <c r="D10" i="3" s="1"/>
  <c r="I42" i="7" a="1"/>
  <c r="I42" i="7" s="1"/>
  <c r="I46" i="7" s="1" a="1"/>
  <c r="I46" i="7" s="1"/>
  <c r="E18" i="3" s="1" a="1"/>
  <c r="E18" i="3" s="1"/>
  <c r="E19" i="3" s="1" a="1"/>
  <c r="E19" i="3" s="1"/>
  <c r="F56" i="6" a="1"/>
  <c r="F56" i="6" s="1"/>
  <c r="G40" i="6" a="1"/>
  <c r="G40" i="6" s="1"/>
  <c r="F55" i="6" a="1"/>
  <c r="F55" i="6" s="1"/>
  <c r="G39" i="6" a="1"/>
  <c r="G39" i="6" s="1"/>
  <c r="C15" i="2" a="1"/>
  <c r="C15" i="2" s="1"/>
  <c r="E54" i="6" a="1"/>
  <c r="E54" i="6" s="1"/>
  <c r="F38" i="6" a="1"/>
  <c r="F38" i="6" s="1"/>
  <c r="I8" i="3" a="1"/>
  <c r="I8" i="3" s="1"/>
  <c r="C66" i="6" a="1"/>
  <c r="C66" i="6" s="1"/>
  <c r="C67" i="6" a="1"/>
  <c r="C67" i="6" s="1"/>
  <c r="C68" i="6" s="1" a="1"/>
  <c r="C68" i="6" s="1"/>
  <c r="C15" i="3" l="1" a="1"/>
  <c r="C15" i="3" s="1"/>
  <c r="C17" i="2" s="1" a="1"/>
  <c r="C17" i="2" s="1"/>
  <c r="I57" i="6" a="1"/>
  <c r="I57" i="6" s="1"/>
  <c r="I56" i="6" a="1"/>
  <c r="I56" i="6" s="1"/>
  <c r="E58" i="6" a="1"/>
  <c r="E58" i="6" s="1"/>
  <c r="F54" i="6" a="1"/>
  <c r="F54" i="6" s="1"/>
  <c r="G38" i="6" a="1"/>
  <c r="G38" i="6" s="1"/>
  <c r="G37" i="6" a="1"/>
  <c r="G37" i="6" s="1"/>
  <c r="F53" i="6" a="1"/>
  <c r="F53" i="6" s="1"/>
  <c r="H41" i="6" a="1"/>
  <c r="H41" i="6" s="1"/>
  <c r="H57" i="6" s="1" a="1"/>
  <c r="H57" i="6" s="1"/>
  <c r="G57" i="6" a="1"/>
  <c r="G57" i="6" s="1"/>
  <c r="M46" i="7" a="1"/>
  <c r="M46" i="7" s="1"/>
  <c r="D15" i="2" a="1"/>
  <c r="D15" i="2" s="1"/>
  <c r="D14" i="3" a="1"/>
  <c r="D14" i="3" s="1"/>
  <c r="E9" i="3" a="1"/>
  <c r="E9" i="3" s="1"/>
  <c r="E78" i="6" a="1"/>
  <c r="E78" i="6" s="1"/>
  <c r="E79" i="6" s="1" a="1"/>
  <c r="E79" i="6" s="1"/>
  <c r="G55" i="6" a="1"/>
  <c r="G55" i="6" s="1"/>
  <c r="H39" i="6" a="1"/>
  <c r="H39" i="6" s="1"/>
  <c r="H55" i="6" s="1" a="1"/>
  <c r="H55" i="6" s="1"/>
  <c r="G73" i="6" a="1"/>
  <c r="G73" i="6" s="1"/>
  <c r="F75" i="6" a="1"/>
  <c r="F75" i="6" s="1"/>
  <c r="F77" i="6" s="1" a="1"/>
  <c r="F77" i="6" s="1"/>
  <c r="G74" i="6" a="1"/>
  <c r="G74" i="6" s="1"/>
  <c r="F80" i="6" a="1"/>
  <c r="F80" i="6" s="1"/>
  <c r="F24" i="3" s="1" a="1"/>
  <c r="F24" i="3" s="1"/>
  <c r="H40" i="6" a="1"/>
  <c r="H40" i="6" s="1"/>
  <c r="H56" i="6" s="1" a="1"/>
  <c r="H56" i="6" s="1"/>
  <c r="G56" i="6" a="1"/>
  <c r="G56" i="6" s="1"/>
  <c r="D65" i="6" a="1"/>
  <c r="D65" i="6" s="1"/>
  <c r="I18" i="3" a="1"/>
  <c r="I18" i="3" s="1"/>
  <c r="C19" i="3" a="1"/>
  <c r="C19" i="3" s="1"/>
  <c r="I19" i="3" s="1" a="1"/>
  <c r="I19" i="3" s="1"/>
  <c r="F58" i="6" l="1" a="1"/>
  <c r="F58" i="6" s="1"/>
  <c r="G54" i="6" a="1"/>
  <c r="G54" i="6" s="1"/>
  <c r="H38" i="6" a="1"/>
  <c r="H38" i="6" s="1"/>
  <c r="H54" i="6" s="1" a="1"/>
  <c r="H54" i="6" s="1"/>
  <c r="I54" i="6" s="1" a="1"/>
  <c r="I54" i="6" s="1"/>
  <c r="I55" i="6" a="1"/>
  <c r="I55" i="6" s="1"/>
  <c r="E11" i="3" a="1"/>
  <c r="E11" i="3" s="1"/>
  <c r="E64" i="6" a="1"/>
  <c r="E64" i="6" s="1"/>
  <c r="E10" i="3" a="1"/>
  <c r="E10" i="3" s="1"/>
  <c r="F78" i="6" a="1"/>
  <c r="F78" i="6" s="1"/>
  <c r="F12" i="3" s="1" a="1"/>
  <c r="F12" i="3" s="1"/>
  <c r="F79" i="6" a="1"/>
  <c r="F79" i="6" s="1"/>
  <c r="F9" i="3" a="1"/>
  <c r="F9" i="3" s="1"/>
  <c r="F10" i="3" s="1" a="1"/>
  <c r="F10" i="3" s="1"/>
  <c r="G80" i="6" a="1"/>
  <c r="G80" i="6" s="1"/>
  <c r="G24" i="3" s="1" a="1"/>
  <c r="G24" i="3" s="1"/>
  <c r="H74" i="6" a="1"/>
  <c r="H74" i="6" s="1"/>
  <c r="G75" i="6" a="1"/>
  <c r="G75" i="6" s="1"/>
  <c r="G77" i="6" s="1" a="1"/>
  <c r="G77" i="6" s="1"/>
  <c r="H73" i="6" a="1"/>
  <c r="H73" i="6" s="1"/>
  <c r="H37" i="6" a="1"/>
  <c r="H37" i="6" s="1"/>
  <c r="H53" i="6" s="1" a="1"/>
  <c r="H53" i="6" s="1"/>
  <c r="G53" i="6" a="1"/>
  <c r="G53" i="6" s="1"/>
  <c r="G58" i="6" s="1" a="1"/>
  <c r="G58" i="6" s="1"/>
  <c r="E12" i="3" a="1"/>
  <c r="E12" i="3" s="1"/>
  <c r="D66" i="6" a="1"/>
  <c r="D66" i="6" s="1"/>
  <c r="D21" i="3" a="1"/>
  <c r="D21" i="3" s="1"/>
  <c r="D15" i="3" a="1"/>
  <c r="D15" i="3" s="1"/>
  <c r="D17" i="2" s="1" a="1"/>
  <c r="D17" i="2" s="1"/>
  <c r="C21" i="3" a="1"/>
  <c r="C21" i="3" s="1"/>
  <c r="E67" i="6" l="1" a="1"/>
  <c r="E67" i="6" s="1"/>
  <c r="E68" i="6" s="1" a="1"/>
  <c r="E68" i="6" s="1"/>
  <c r="E65" i="6" a="1"/>
  <c r="E65" i="6" s="1"/>
  <c r="C28" i="3" a="1"/>
  <c r="C28" i="3" s="1"/>
  <c r="C16" i="2" a="1"/>
  <c r="C16" i="2" s="1"/>
  <c r="C22" i="3" a="1"/>
  <c r="C22" i="3" s="1"/>
  <c r="F15" i="2" a="1"/>
  <c r="F15" i="2" s="1"/>
  <c r="F14" i="3" a="1"/>
  <c r="F14" i="3" s="1"/>
  <c r="D16" i="2" a="1"/>
  <c r="D16" i="2" s="1"/>
  <c r="D28" i="3" a="1"/>
  <c r="D28" i="3" s="1"/>
  <c r="D18" i="2" s="1" a="1"/>
  <c r="D18" i="2" s="1"/>
  <c r="D22" i="3" a="1"/>
  <c r="D22" i="3" s="1"/>
  <c r="E14" i="3" a="1"/>
  <c r="E14" i="3" s="1"/>
  <c r="E15" i="2" a="1"/>
  <c r="E15" i="2" s="1"/>
  <c r="G64" i="6" a="1"/>
  <c r="G64" i="6" s="1"/>
  <c r="G11" i="3" a="1"/>
  <c r="G11" i="3" s="1"/>
  <c r="H80" i="6" a="1"/>
  <c r="H80" i="6" s="1"/>
  <c r="H24" i="3" s="1" a="1"/>
  <c r="H24" i="3" s="1"/>
  <c r="H75" i="6" a="1"/>
  <c r="H75" i="6" s="1"/>
  <c r="H77" i="6" s="1" a="1"/>
  <c r="H77" i="6" s="1"/>
  <c r="I53" i="6" a="1"/>
  <c r="I53" i="6" s="1"/>
  <c r="I58" i="6" s="1" a="1"/>
  <c r="I58" i="6" s="1"/>
  <c r="H58" i="6" a="1"/>
  <c r="H58" i="6" s="1"/>
  <c r="G78" i="6" a="1"/>
  <c r="G78" i="6" s="1"/>
  <c r="G12" i="3" s="1" a="1"/>
  <c r="G12" i="3" s="1"/>
  <c r="G79" i="6" a="1"/>
  <c r="G79" i="6" s="1"/>
  <c r="G9" i="3" a="1"/>
  <c r="G9" i="3" s="1"/>
  <c r="G10" i="3" s="1" a="1"/>
  <c r="G10" i="3" s="1"/>
  <c r="F64" i="6" a="1"/>
  <c r="F64" i="6" s="1"/>
  <c r="F11" i="3" a="1"/>
  <c r="F11" i="3" s="1"/>
  <c r="F21" i="3" l="1" a="1"/>
  <c r="F21" i="3" s="1"/>
  <c r="F15" i="3" a="1"/>
  <c r="F15" i="3" s="1"/>
  <c r="F17" i="2" s="1" a="1"/>
  <c r="F17" i="2" s="1"/>
  <c r="C18" i="2" a="1"/>
  <c r="C18" i="2" s="1"/>
  <c r="E66" i="6" a="1"/>
  <c r="E66" i="6" s="1"/>
  <c r="D30" i="2" a="1"/>
  <c r="D30" i="2" s="1"/>
  <c r="D11" i="2" a="1"/>
  <c r="D11" i="2" s="1"/>
  <c r="E15" i="3" a="1"/>
  <c r="E15" i="3" s="1"/>
  <c r="E17" i="2" s="1" a="1"/>
  <c r="E17" i="2" s="1"/>
  <c r="E21" i="3" a="1"/>
  <c r="E21" i="3" s="1"/>
  <c r="H64" i="6" a="1"/>
  <c r="H64" i="6" s="1"/>
  <c r="I64" i="6" s="1" a="1"/>
  <c r="I64" i="6" s="1"/>
  <c r="H11" i="3" a="1"/>
  <c r="H11" i="3" s="1"/>
  <c r="I11" i="3" s="1" a="1"/>
  <c r="I11" i="3" s="1"/>
  <c r="H78" i="6" a="1"/>
  <c r="H78" i="6" s="1"/>
  <c r="H12" i="3" s="1" a="1"/>
  <c r="H12" i="3" s="1"/>
  <c r="I12" i="3" s="1" a="1"/>
  <c r="I12" i="3" s="1"/>
  <c r="H9" i="3" a="1"/>
  <c r="H9" i="3" s="1"/>
  <c r="H79" i="6" a="1"/>
  <c r="H79" i="6" s="1"/>
  <c r="I79" i="6" s="1" a="1"/>
  <c r="I79" i="6" s="1"/>
  <c r="I77" i="6" a="1"/>
  <c r="I77" i="6" s="1"/>
  <c r="G67" i="6" a="1"/>
  <c r="G67" i="6" s="1"/>
  <c r="G68" i="6" s="1" a="1"/>
  <c r="G68" i="6" s="1"/>
  <c r="D9" i="2" s="1" a="1"/>
  <c r="D9" i="2" s="1"/>
  <c r="G65" i="6" a="1"/>
  <c r="G65" i="6" s="1"/>
  <c r="G66" i="6" s="1" a="1"/>
  <c r="G66" i="6" s="1"/>
  <c r="I78" i="6" a="1"/>
  <c r="I78" i="6" s="1"/>
  <c r="F67" i="6" a="1"/>
  <c r="F67" i="6" s="1"/>
  <c r="F68" i="6" s="1" a="1"/>
  <c r="F68" i="6" s="1"/>
  <c r="F65" i="6" a="1"/>
  <c r="F65" i="6" s="1"/>
  <c r="F66" i="6" s="1" a="1"/>
  <c r="F66" i="6" s="1"/>
  <c r="G14" i="3" a="1"/>
  <c r="G14" i="3" s="1"/>
  <c r="G15" i="2" a="1"/>
  <c r="G15" i="2" s="1"/>
  <c r="E16" i="2" l="1" a="1"/>
  <c r="E16" i="2" s="1"/>
  <c r="E22" i="3" a="1"/>
  <c r="E22" i="3" s="1"/>
  <c r="E28" i="3" a="1"/>
  <c r="E28" i="3" s="1"/>
  <c r="G21" i="3" a="1"/>
  <c r="G21" i="3" s="1"/>
  <c r="G15" i="3" a="1"/>
  <c r="G15" i="3" s="1"/>
  <c r="G17" i="2" s="1" a="1"/>
  <c r="G17" i="2" s="1"/>
  <c r="I65" i="6" a="1"/>
  <c r="I65" i="6" s="1"/>
  <c r="H10" i="3" a="1"/>
  <c r="H10" i="3" s="1"/>
  <c r="I9" i="3" a="1"/>
  <c r="I9" i="3" s="1"/>
  <c r="F22" i="3" a="1"/>
  <c r="F22" i="3" s="1"/>
  <c r="F16" i="2" a="1"/>
  <c r="F16" i="2" s="1"/>
  <c r="F28" i="3" a="1"/>
  <c r="F28" i="3" s="1"/>
  <c r="F18" i="2" s="1" a="1"/>
  <c r="F18" i="2" s="1"/>
  <c r="H67" i="6" a="1"/>
  <c r="H67" i="6" s="1"/>
  <c r="H68" i="6" s="1" a="1"/>
  <c r="H68" i="6" s="1"/>
  <c r="H65" i="6" a="1"/>
  <c r="H65" i="6" s="1"/>
  <c r="H66" i="6" s="1" a="1"/>
  <c r="H66" i="6" s="1"/>
  <c r="H14" i="3" l="1" a="1"/>
  <c r="H14" i="3" s="1"/>
  <c r="H15" i="2" a="1"/>
  <c r="H15" i="2" s="1"/>
  <c r="I10" i="3" a="1"/>
  <c r="I10" i="3" s="1"/>
  <c r="D7" i="2" s="1" a="1"/>
  <c r="D7" i="2" s="1"/>
  <c r="G16" i="2" a="1"/>
  <c r="G16" i="2" s="1"/>
  <c r="G28" i="3" a="1"/>
  <c r="G28" i="3" s="1"/>
  <c r="G18" i="2" s="1" a="1"/>
  <c r="G18" i="2" s="1"/>
  <c r="G22" i="3" a="1"/>
  <c r="G22" i="3" s="1"/>
  <c r="E18" i="2" a="1"/>
  <c r="E18" i="2" s="1"/>
  <c r="H21" i="3" l="1" a="1"/>
  <c r="H21" i="3" s="1"/>
  <c r="H15" i="3" a="1"/>
  <c r="H15" i="3" s="1"/>
  <c r="H17" i="2" s="1" a="1"/>
  <c r="H17" i="2" s="1"/>
  <c r="I14" i="3" a="1"/>
  <c r="I14" i="3" s="1"/>
  <c r="H28" i="3" l="1" a="1"/>
  <c r="H28" i="3" s="1"/>
  <c r="H16" i="2" a="1"/>
  <c r="H16" i="2" s="1"/>
  <c r="H22" i="3" a="1"/>
  <c r="H22" i="3" s="1"/>
  <c r="I21" i="3" a="1"/>
  <c r="I21" i="3" s="1"/>
  <c r="D8" i="2" s="1" a="1"/>
  <c r="D8" i="2" s="1"/>
  <c r="H18" i="2" l="1" a="1"/>
  <c r="H18" i="2" s="1"/>
  <c r="I28" i="3" a="1"/>
  <c r="I28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<sst xmlns="http://schemas.openxmlformats.org/spreadsheetml/2006/main" count="394" uniqueCount="285">
  <si>
    <t>LIVAQ</t>
  </si>
  <si>
    <t>Six-Year Financial Model</t>
  </si>
  <si>
    <t>Confidential · June 2026 · Prepared for prospective investors</t>
  </si>
  <si>
    <t>THESIS</t>
  </si>
  <si>
    <t>Livaq builds the electric platform for government off-road fleets. The EQUAD is deployed and generating revenue; the company is the control stack, the connected software, and the modular architecture behind it.</t>
  </si>
  <si>
    <t>KEY FIGURES · 6-YEAR</t>
  </si>
  <si>
    <t>Combined revenue</t>
  </si>
  <si>
    <t>$847M</t>
  </si>
  <si>
    <t>Combined EBITDA</t>
  </si>
  <si>
    <t>$255.5M  (~32% at scale)</t>
  </si>
  <si>
    <t>Gross margin</t>
  </si>
  <si>
    <t>builds to ~35%</t>
  </si>
  <si>
    <t>Total CapEx</t>
  </si>
  <si>
    <t>$6.09M</t>
  </si>
  <si>
    <t>Units delivered</t>
  </si>
  <si>
    <t>Software ARR by Year 6</t>
  </si>
  <si>
    <t>~$18M  ($75/unit/mo, ~85% margin)</t>
  </si>
  <si>
    <t>SOURCES &amp; METHODOLOGY</t>
  </si>
  <si>
    <t>Figures are model outputs, reconciled across all tabs. Off-road market ~$25B (Mordor Intelligence).</t>
  </si>
  <si>
    <t>ASP is configuration-weighted from the EQUAD configurator. COGS is modeled as a share of ASP; the margin trajectory is validated against the pre-collapse product mix.</t>
  </si>
  <si>
    <t>Insurance reflects the bound Admiral / RT Specialty policy: $16.67 per $1,000 of gross sales, $25,000 minimum, floored at $37,000.</t>
  </si>
  <si>
    <t>Manufacturing labor is split US / Mexico from Year 2 (80% / 20% of a held budget), Mexico wage $15,000. The budget is unchanged; the same money staffs more people.</t>
  </si>
  <si>
    <t>The round is sized to the plan, approximately 24 months to break-even.</t>
  </si>
  <si>
    <t>TAB GUIDE</t>
  </si>
  <si>
    <t>Dashboard · executive summary of model outputs.</t>
  </si>
  <si>
    <t>P&amp;L Tables · hardware, software, and combined profit &amp; loss.</t>
  </si>
  <si>
    <t>Product Catalog · products, pricing, and the EQUAD configuration mix.</t>
  </si>
  <si>
    <t>Production + COGS · volume plan, cost curve, revenue and gross profit.</t>
  </si>
  <si>
    <t>Team Roster · headcount and labor, including the US / Mexico manufacturing split.</t>
  </si>
  <si>
    <t>CapEx Detail · capital plan by line item and year.</t>
  </si>
  <si>
    <t>Master Dials · assumptions, stress dials, and software inputs.</t>
  </si>
  <si>
    <t>Six-Year Financial Model · Executive Summary</t>
  </si>
  <si>
    <t>Confidential · June 2026</t>
  </si>
  <si>
    <t>OPERATING OUTCOMES · 6-YEAR</t>
  </si>
  <si>
    <t>Combined EBITDA  (~32% at scale)</t>
  </si>
  <si>
    <t>Gross margin at scale (Year 5)</t>
  </si>
  <si>
    <t>BY YEAR</t>
  </si>
  <si>
    <t>Metric</t>
  </si>
  <si>
    <t>Y1</t>
  </si>
  <si>
    <t>Y2</t>
  </si>
  <si>
    <t>Y3</t>
  </si>
  <si>
    <t>Y4</t>
  </si>
  <si>
    <t>Y5</t>
  </si>
  <si>
    <t>Y6</t>
  </si>
  <si>
    <t>Revenue</t>
  </si>
  <si>
    <t>EBITDA</t>
  </si>
  <si>
    <t>Operating cash flow</t>
  </si>
  <si>
    <t>CAPITAL PLAN</t>
  </si>
  <si>
    <t>Total CapEx (6-yr)</t>
  </si>
  <si>
    <t>Scaling reserve, Yr 2 to 5 scale-up (&gt; 2,000 units)</t>
  </si>
  <si>
    <t>Operating profit turns positive</t>
  </si>
  <si>
    <t>Year 3</t>
  </si>
  <si>
    <t>FUNDING &amp; RUNWAY</t>
  </si>
  <si>
    <t>The plan reaches operating break-even in roughly 24 months. The business turns cash-generative in Year 3 and self-funds its capital expansion thereafter.</t>
  </si>
  <si>
    <t>SOFTWARE</t>
  </si>
  <si>
    <t>Subscription</t>
  </si>
  <si>
    <t>$75 / unit / month · ~85% gross margin · monetized Year 3</t>
  </si>
  <si>
    <t>ARR, Year 6</t>
  </si>
  <si>
    <t>TEAM &amp; JOBS</t>
  </si>
  <si>
    <t>Total headcount by Year 6</t>
  </si>
  <si>
    <t>Mexico manufacturing jobs by Year 6</t>
  </si>
  <si>
    <t>TRACTION</t>
  </si>
  <si>
    <t>State of Puebla: units in active service, a paying government customer.</t>
  </si>
  <si>
    <t>Michigan DNR: active pilot in the field, backed by a letter of intent.</t>
  </si>
  <si>
    <t>200-unit LOI (~$10M) for 2027; 50-unit follow-on in negotiation.</t>
  </si>
  <si>
    <t>P&amp;L Table</t>
  </si>
  <si>
    <t>Combined hardware and software, full operating P&amp;L.</t>
  </si>
  <si>
    <t xml:space="preserve">      OPERATING P&amp;L · COMBINED HARDWARE + SOFTWARE</t>
  </si>
  <si>
    <t>Line item</t>
  </si>
  <si>
    <t>6-yr total</t>
  </si>
  <si>
    <t>Hardware Revenue</t>
  </si>
  <si>
    <t>Software Revenue (subscription)</t>
  </si>
  <si>
    <t>COMBINED TOTAL REVENUE</t>
  </si>
  <si>
    <t>Hardware COGS</t>
  </si>
  <si>
    <t>Software COGS</t>
  </si>
  <si>
    <t>Manufacturing labor</t>
  </si>
  <si>
    <t>COMBINED GROSS PROFIT</t>
  </si>
  <si>
    <t>Combined Gross Margin %</t>
  </si>
  <si>
    <t>Ops payroll (all categories)</t>
  </si>
  <si>
    <t>Other OpEx (insurance / mkt / SaaS / consulting)</t>
  </si>
  <si>
    <t>TOTAL OPEX</t>
  </si>
  <si>
    <t>COMBINED EBITDA</t>
  </si>
  <si>
    <t>Combined EBITDA Margin %</t>
  </si>
  <si>
    <t>Software ARR · annualized (end of year)</t>
  </si>
  <si>
    <t>CapEx (from CapEx Detail tab)</t>
  </si>
  <si>
    <t>OPERATING CASH FLOW · combined (EBITDA less CapEx)</t>
  </si>
  <si>
    <t>LIVAQ · Master Dials</t>
  </si>
  <si>
    <t>Assumptions, stress dials, and software inputs.</t>
  </si>
  <si>
    <t>STRESS DIALS · leave at 100% / 0 for base case</t>
  </si>
  <si>
    <t>COGS multiplier</t>
  </si>
  <si>
    <t>Revenue % of plan</t>
  </si>
  <si>
    <t>OpEx multiplier</t>
  </si>
  <si>
    <t>Revenue delay (months)</t>
  </si>
  <si>
    <t>Scaling reserve · Yr 2 to 5 scale-up (&gt; 2,000 units)</t>
  </si>
  <si>
    <t>Funding reserve to scale manufacturing once volume passes 2,000 units: battery lines, robots, CNC, tube bending. Separate from CapEx.</t>
  </si>
  <si>
    <t>SOFTWARE SUBSCRIPTION INPUTS</t>
  </si>
  <si>
    <t>Fleet management subscription against installed base. Starts mid-Y2.5.</t>
  </si>
  <si>
    <t>ARPU ($/month per unit)</t>
  </si>
  <si>
    <t>Editable. Range $50–100. Default $75.</t>
  </si>
  <si>
    <t>Software COGS % of revenue</t>
  </si>
  <si>
    <t>Hosting + telemetry + support. 15% COGS → 85% GM.</t>
  </si>
  <si>
    <t>Start year (full year)</t>
  </si>
  <si>
    <t>Y3 = first full year. Y2.5 = partial.</t>
  </si>
  <si>
    <t>Year before start = partial factor</t>
  </si>
  <si>
    <t>0.5 = mid-year launch. Set 1.0 for full Y3.</t>
  </si>
  <si>
    <t>Product Catalog · per-product economics</t>
  </si>
  <si>
    <t>Edit ASP and BOM $ (yellow). BOM % auto-calculates. Type a % directly to override.</t>
  </si>
  <si>
    <t>Product</t>
  </si>
  <si>
    <t>Launch Yr</t>
  </si>
  <si>
    <t>ASP ($)</t>
  </si>
  <si>
    <t>BOM $ (mature)</t>
  </si>
  <si>
    <t>BOM % of ASP</t>
  </si>
  <si>
    <t>Notes</t>
  </si>
  <si>
    <t>EQUAD</t>
  </si>
  <si>
    <t>One configurable line ($17.5k base to $28.5k full-spec). ASP = configuration-weighted blend below.</t>
  </si>
  <si>
    <t>EQUAD 4X4 (merged into EQUAD)</t>
  </si>
  <si>
    <t>Merged into the single EQUAD line above. Carries zero standalone volume.</t>
  </si>
  <si>
    <t>Driverless</t>
  </si>
  <si>
    <t>Complex product. Higher mature BOM %.</t>
  </si>
  <si>
    <t>KEI Truck</t>
  </si>
  <si>
    <t>Volume product. Strong scale economics.</t>
  </si>
  <si>
    <t>SVS</t>
  </si>
  <si>
    <t>SVS · sport variant on the KEI platform. LSV is a separate KEI body style. Strong scale advantage.</t>
  </si>
  <si>
    <t>Limited Ed.</t>
  </si>
  <si>
    <t>Premium. BOM ~65% · tech already developed.</t>
  </si>
  <si>
    <t>EQUAD ASP ($24,450) is a configuration-weighted average based on expected order mix.</t>
  </si>
  <si>
    <t>Production Plan + COGS Engine</t>
  </si>
  <si>
    <t>Three blocks: (1) production plan, (2) cost curve per product, (3) annual summary. Side text explains each block.</t>
  </si>
  <si>
    <t>BLOCK 1 · Production Plan (units per product per year)</t>
  </si>
  <si>
    <t>Edit the yellow cells with the number of units you plan to deliver each year. Each year here flows directly into the cost curve below.</t>
  </si>
  <si>
    <t>TOTAL UNITS DELIVERED</t>
  </si>
  <si>
    <t>BLOCK 2 · Cost-at-Volume Curve (editable COGS % per tier per product)</t>
  </si>
  <si>
    <t>Units 1-10</t>
  </si>
  <si>
    <t>Units 11-50</t>
  </si>
  <si>
    <t>Units 51-100</t>
  </si>
  <si>
    <t>Units 101-250</t>
  </si>
  <si>
    <t>Units 251-500</t>
  </si>
  <si>
    <t>Units 501+</t>
  </si>
  <si>
    <t>How to read this: each row is a product. Each column is a volume tier (the first 10 units made, the next 40, etc.). The percentage is COGS as % of ASP for units in that tier. Defaults assume costs come down as volume grows (learning curve). Edit any cell to override.</t>
  </si>
  <si>
    <t>EQUAD calibration COGS% · collapsed line; holds prior validated family margin path</t>
  </si>
  <si>
    <t>EQUAD is now one line. Cost curve calibrated to the pre-merge family COGS% so collapsing volumes does not manufacture margin. Edit only with a real BOM basis.</t>
  </si>
  <si>
    <t>Tier boundaries (cumulative units)</t>
  </si>
  <si>
    <t>Tier 1 = first 10 units made (across all years). Once cumulative passes 10, you move into Tier 2 (units 11-50), and so on.</t>
  </si>
  <si>
    <t>Tier</t>
  </si>
  <si>
    <t>Lower</t>
  </si>
  <si>
    <t>Upper</t>
  </si>
  <si>
    <t>Tier 1 (introduction)</t>
  </si>
  <si>
    <t>Tier 2 (early scale)</t>
  </si>
  <si>
    <t>Tier 3 (volume)</t>
  </si>
  <si>
    <t>Tier 4 (mid-scale)</t>
  </si>
  <si>
    <t>Tier 5 (high-volume)</t>
  </si>
  <si>
    <t>Tier 6 (mature)</t>
  </si>
  <si>
    <t>Block 2b · Cumulative units delivered (helper for tier math)</t>
  </si>
  <si>
    <t>End Y1</t>
  </si>
  <si>
    <t>End Y2</t>
  </si>
  <si>
    <t>End Y3</t>
  </si>
  <si>
    <t>End Y4</t>
  </si>
  <si>
    <t>End Y5</t>
  </si>
  <si>
    <t>End Y6</t>
  </si>
  <si>
    <t>Helper: cumulative units delivered through each year, per product. The COGS engine needs this to know which tier each year's units fall into. Read but do not edit · these are formulas.</t>
  </si>
  <si>
    <t>BLOCK 3 · Revenue and COGS by product</t>
  </si>
  <si>
    <t>Revenue = units × ASP for each product. COGS uses the tier-weighted cost curve applied to cumulative volume. As units accumulate across years, they shift into lower-cost tiers · that's the learning curve at work.</t>
  </si>
  <si>
    <t>TOTAL REVENUE</t>
  </si>
  <si>
    <t>TOTAL COGS</t>
  </si>
  <si>
    <t>BLOCK 4 · Annual Summary</t>
  </si>
  <si>
    <t>The final read-out. Units sold, revenue, COGS, gross profit, gross profit per unit, blended COGS%, gross margin %. The margin % climbs each year as cumulative volume pushes products into lower-cost tiers.</t>
  </si>
  <si>
    <t>Revenue ($)</t>
  </si>
  <si>
    <t>COGS ($)</t>
  </si>
  <si>
    <t>Gross Profit ($)</t>
  </si>
  <si>
    <t>Gross Profit per unit ($)</t>
  </si>
  <si>
    <t>Blended COGS %</t>
  </si>
  <si>
    <t>Gross Margin %</t>
  </si>
  <si>
    <t>BLOCK 5 · Installed Base + Software Subscription (new in v9)</t>
  </si>
  <si>
    <t>Installed base = cumulative units delivered. Software = avg base × ARPU × 12 × year factor.</t>
  </si>
  <si>
    <t>Units delivered (from Block 1)</t>
  </si>
  <si>
    <t>Installed base · end of year</t>
  </si>
  <si>
    <t>Installed base · start of year</t>
  </si>
  <si>
    <t>Installed base · average in year</t>
  </si>
  <si>
    <t>Year factor (subscription active?)</t>
  </si>
  <si>
    <t>SOFTWARE REVENUE ($)</t>
  </si>
  <si>
    <t>Software COGS ($)</t>
  </si>
  <si>
    <t>Software Gross Profit ($)</t>
  </si>
  <si>
    <t xml:space="preserve">Team Roster </t>
  </si>
  <si>
    <t>Hire-month timing reflects David's v4 changes. Y1 Other OpEx = $0 by design (source plan; ramps up Y2+).</t>
  </si>
  <si>
    <t>Role</t>
  </si>
  <si>
    <t>Category</t>
  </si>
  <si>
    <t>Salary ($/yr)</t>
  </si>
  <si>
    <t>Qty</t>
  </si>
  <si>
    <t>Hire month</t>
  </si>
  <si>
    <t>Y1 cost</t>
  </si>
  <si>
    <t>Y2 cost</t>
  </si>
  <si>
    <t>Y3 cost</t>
  </si>
  <si>
    <t>Y4 cost</t>
  </si>
  <si>
    <t>Y5 cost</t>
  </si>
  <si>
    <t>Y6 cost</t>
  </si>
  <si>
    <t>CEO</t>
  </si>
  <si>
    <t>Leadership</t>
  </si>
  <si>
    <t>COO</t>
  </si>
  <si>
    <t>CFO</t>
  </si>
  <si>
    <t>CMO</t>
  </si>
  <si>
    <t>Chief Brand Officer</t>
  </si>
  <si>
    <t>Lead Engineer · Mechanical</t>
  </si>
  <si>
    <t>Engineering Lead</t>
  </si>
  <si>
    <t>Lead Engineer · Electrical</t>
  </si>
  <si>
    <t>Lead Engineer · Software</t>
  </si>
  <si>
    <t>Engineer · Mechanical (1)</t>
  </si>
  <si>
    <t>Engineering</t>
  </si>
  <si>
    <t>Engineer · Mechanical (2)</t>
  </si>
  <si>
    <t>Engineer · Electrical (1)</t>
  </si>
  <si>
    <t>Engineer · Electrical (2)</t>
  </si>
  <si>
    <t>Engineer · Electrical (3)</t>
  </si>
  <si>
    <t>Engineer · Software (1)</t>
  </si>
  <si>
    <t>Engineer · Software (2)</t>
  </si>
  <si>
    <t>Manager · USA (1)</t>
  </si>
  <si>
    <t xml:space="preserve">Lead Quality Engineer Mechanical </t>
  </si>
  <si>
    <t>Manager · USA (2)</t>
  </si>
  <si>
    <t>Lead Quality Engineer electrictical</t>
  </si>
  <si>
    <t>Manager · MEX (1)</t>
  </si>
  <si>
    <t xml:space="preserve">Lead Quality Engineer electrical </t>
  </si>
  <si>
    <t>Manager · MEX (2)</t>
  </si>
  <si>
    <t>Manager · MEX (3)</t>
  </si>
  <si>
    <t>International Business Dir.</t>
  </si>
  <si>
    <t>Export / Import</t>
  </si>
  <si>
    <t>Lawyers (outside counsel)</t>
  </si>
  <si>
    <t>Admin</t>
  </si>
  <si>
    <t>Accountants (outside)</t>
  </si>
  <si>
    <t>Intern (1)</t>
  </si>
  <si>
    <t>Intern (2)</t>
  </si>
  <si>
    <t>Intern (3)</t>
  </si>
  <si>
    <t>TOTAL OPS PAYROLL</t>
  </si>
  <si>
    <t>MANUFACTURING TECHNICIANS · US / Mexico split (Mexico from Y2), budget held</t>
  </si>
  <si>
    <t>Salary/yr each</t>
  </si>
  <si>
    <t>Mfg techs · US</t>
  </si>
  <si>
    <t>Mfg techs · Mexico</t>
  </si>
  <si>
    <t>Mfg labor cost ($/yr)</t>
  </si>
  <si>
    <t>OTHER OPERATING EXPENSES · non-headcount overhead</t>
  </si>
  <si>
    <t>Per source plan: Y1 = $0 for these items (insurance/marketing/SaaS/contingency ramp up Y2+).</t>
  </si>
  <si>
    <t>Item</t>
  </si>
  <si>
    <t>Insurance</t>
  </si>
  <si>
    <t>Commercial GL · $16.67 per $1,000 gross sales, $25,000 min/deposit; + ~$12k other (flat). Floors at current.</t>
  </si>
  <si>
    <t>Marketing</t>
  </si>
  <si>
    <t>Advertisement + Events</t>
  </si>
  <si>
    <t>Software / Hardware</t>
  </si>
  <si>
    <t>Office, Adobe, CAD, hardware</t>
  </si>
  <si>
    <t>Contingency</t>
  </si>
  <si>
    <t>Reserve · Y3+ only per source</t>
  </si>
  <si>
    <t>TOTAL OTHER OPEX</t>
  </si>
  <si>
    <t>TOTAL HEADCOUNT · active at year end</t>
  </si>
  <si>
    <t>Quality Engineering</t>
  </si>
  <si>
    <t>Manufacturing technicians</t>
  </si>
  <si>
    <t>TOTAL HEADCOUNT</t>
  </si>
  <si>
    <t>MANUFACTURING LABOR · US / MEXICO BUDGET SPLIT (from Year 2)</t>
  </si>
  <si>
    <t>Driver</t>
  </si>
  <si>
    <t>Mfg labor budget ($/yr, held)</t>
  </si>
  <si>
    <t>US wage / yr</t>
  </si>
  <si>
    <t>Mexico wage / yr</t>
  </si>
  <si>
    <t>US budget share</t>
  </si>
  <si>
    <t>Mexico budget share</t>
  </si>
  <si>
    <t>Mexico split starts</t>
  </si>
  <si>
    <t>Year 2</t>
  </si>
  <si>
    <t>US techs</t>
  </si>
  <si>
    <t>Mexico techs</t>
  </si>
  <si>
    <t>Total mfg techs</t>
  </si>
  <si>
    <t>Implied labor cost (check vs budget)</t>
  </si>
  <si>
    <t>CapEx Detail · line items with per-year spread</t>
  </si>
  <si>
    <t>Each item has editable Y1-Y6 amounts. Total per item = sum across years. David's specified spreads applied for multi-year items.</t>
  </si>
  <si>
    <t>Total</t>
  </si>
  <si>
    <t>Battery Testing / Fabrication</t>
  </si>
  <si>
    <t>Robot Welding Tools</t>
  </si>
  <si>
    <t>CNC Machine</t>
  </si>
  <si>
    <t>EV Powertrain (VCU + 4 controllers)</t>
  </si>
  <si>
    <t>BMS development equipment</t>
  </si>
  <si>
    <t>Other Vehicles (development mules)</t>
  </si>
  <si>
    <t>Driverless Package</t>
  </si>
  <si>
    <t>Battery Pack Updates</t>
  </si>
  <si>
    <t>Miscellaneous tooling / fixtures</t>
  </si>
  <si>
    <t>TOTAL CAPEX</t>
  </si>
  <si>
    <t>Cumulative CapEx</t>
  </si>
  <si>
    <t>Cumulative</t>
  </si>
  <si>
    <t>• Total CapEx should reconcile to ~$6.09M. Edit any Y1-Y6 cell to redistribute spending.</t>
  </si>
  <si>
    <t>• Per-year amounts feed the P&amp;L Tables.</t>
  </si>
  <si>
    <t>• To add new items, insert rows above TOTAL and copy formulas. Don't break the SUM ranges.</t>
  </si>
  <si>
    <t>CAPITAL PLAN SUMMARY</t>
  </si>
  <si>
    <t>Scaling reserve (Yr 2 to 5 scale-up, &gt; 2,000 units)</t>
  </si>
  <si>
    <t>Total capital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</si>
</sst>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"/>
    <numFmt numFmtId="165" formatCode="&quot;$&quot;#,##0;&quot;($&quot;#,##0\);&quot;-&quot;"/>
    <numFmt numFmtId="166" formatCode="0.0%"/>
    <numFmt numFmtId="167" formatCode="#,##0;\(#,##0\);&quot;-&quot;"/>
    <numFmt numFmtId="168" formatCode="0.0"/>
    <numFmt numFmtId="169" formatCode="#,##0%"/>
    <numFmt numFmtId="170" formatCode="#,##0.0%"/>
  </numFmts>
  <fonts count="25" x14ac:knownFonts="1">
    <font>
      <sz val="11"/>
      <color indexed="8"/>
      <name val="Calibri"/>
    </font>
    <font>
      <sz val="11"/>
      <color indexed="8"/>
      <name val="Arial"/>
      <family val="2"/>
    </font>
    <font>
      <b/>
      <sz val="22"/>
      <color indexed="10"/>
      <name val="Arial"/>
      <family val="2"/>
    </font>
    <font>
      <sz val="10"/>
      <color indexed="12"/>
      <name val="Arial"/>
      <family val="2"/>
    </font>
    <font>
      <i/>
      <sz val="9"/>
      <color indexed="13"/>
      <name val="Arial"/>
      <family val="2"/>
    </font>
    <font>
      <b/>
      <sz val="11"/>
      <color indexed="9"/>
      <name val="Arial"/>
      <family val="2"/>
    </font>
    <font>
      <sz val="10"/>
      <color indexed="15"/>
      <name val="Arial"/>
      <family val="2"/>
    </font>
    <font>
      <sz val="10"/>
      <color indexed="8"/>
      <name val="Arial"/>
      <family val="2"/>
    </font>
    <font>
      <b/>
      <sz val="13"/>
      <color indexed="10"/>
      <name val="Arial"/>
      <family val="2"/>
    </font>
    <font>
      <sz val="9"/>
      <color indexed="16"/>
      <name val="Arial"/>
      <family val="2"/>
    </font>
    <font>
      <sz val="12"/>
      <color indexed="8"/>
      <name val="Arial"/>
      <family val="2"/>
    </font>
    <font>
      <b/>
      <sz val="9"/>
      <color indexed="14"/>
      <name val="Arial"/>
      <family val="2"/>
    </font>
    <font>
      <b/>
      <sz val="10"/>
      <color indexed="15"/>
      <name val="Arial"/>
      <family val="2"/>
    </font>
    <font>
      <b/>
      <sz val="10"/>
      <color indexed="14"/>
      <name val="Arial"/>
      <family val="2"/>
    </font>
    <font>
      <b/>
      <sz val="11"/>
      <color indexed="8"/>
      <name val="Arial"/>
      <family val="2"/>
    </font>
    <font>
      <b/>
      <sz val="11"/>
      <color indexed="14"/>
      <name val="Arial"/>
      <family val="2"/>
    </font>
    <font>
      <b/>
      <sz val="12"/>
      <color indexed="14"/>
      <name val="Arial"/>
      <family val="2"/>
    </font>
    <font>
      <sz val="10"/>
      <color indexed="16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i/>
      <sz val="9"/>
      <color indexed="16"/>
      <name val="Arial"/>
      <family val="2"/>
    </font>
    <font>
      <b/>
      <sz val="15"/>
      <color indexed="10"/>
      <name val="Arial"/>
      <family val="2"/>
    </font>
    <font>
      <sz val="10"/>
      <color indexed="14"/>
      <name val="Arial"/>
      <family val="2"/>
    </font>
    <font>
      <sz val="9"/>
      <color indexed="8"/>
      <name val="Arial"/>
      <family val="2"/>
    </font>
    <font>
      <sz val="11"/>
      <color indexed="1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</fills>
  <borders count="7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medium">
        <color indexed="10"/>
      </bottom>
      <diagonal/>
    </border>
    <border>
      <left/>
      <right/>
      <top style="medium">
        <color indexed="10"/>
      </top>
      <bottom/>
      <diagonal/>
    </border>
    <border>
      <left style="thin">
        <color indexed="8"/>
      </left>
      <right style="thick">
        <color indexed="10"/>
      </right>
      <top/>
      <bottom/>
      <diagonal/>
    </border>
    <border>
      <left style="thick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 style="thin">
        <color indexed="11"/>
      </right>
      <top/>
      <bottom style="medium">
        <color indexed="10"/>
      </bottom>
      <diagonal/>
    </border>
    <border>
      <left/>
      <right style="thin">
        <color indexed="11"/>
      </right>
      <top style="medium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/>
      <top/>
      <bottom style="thin">
        <color indexed="18"/>
      </bottom>
      <diagonal/>
    </border>
    <border>
      <left/>
      <right style="thin">
        <color indexed="11"/>
      </right>
      <top/>
      <bottom style="thin">
        <color indexed="18"/>
      </bottom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18"/>
      </top>
      <bottom style="thin">
        <color indexed="19"/>
      </bottom>
      <diagonal/>
    </border>
    <border>
      <left/>
      <right style="thin">
        <color indexed="11"/>
      </right>
      <top style="thin">
        <color indexed="18"/>
      </top>
      <bottom style="thin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 style="thin">
        <color indexed="11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19"/>
      </top>
      <bottom/>
      <diagonal/>
    </border>
    <border>
      <left/>
      <right style="thin">
        <color indexed="11"/>
      </right>
      <top style="thin">
        <color indexed="19"/>
      </top>
      <bottom/>
      <diagonal/>
    </border>
    <border>
      <left style="thin">
        <color indexed="8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10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10"/>
      </left>
      <right style="thin">
        <color indexed="8"/>
      </right>
      <top/>
      <bottom/>
      <diagonal/>
    </border>
    <border>
      <left style="thick">
        <color indexed="10"/>
      </left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/>
      <top style="thin">
        <color indexed="8"/>
      </top>
      <bottom style="thin">
        <color indexed="11"/>
      </bottom>
      <diagonal/>
    </border>
    <border>
      <left/>
      <right/>
      <top style="thin">
        <color indexed="8"/>
      </top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ck">
        <color indexed="10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292">
    <xf numFmtId="0" fontId="0" fillId="0" borderId="0" xfId="0"/>
    <xf numFmtId="0" fontId="0" fillId="0" borderId="0" xfId="0" applyNumberFormat="1"/>
    <xf numFmtId="1" fontId="1" fillId="2" borderId="1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1" fontId="1" fillId="2" borderId="3" xfId="0" applyNumberFormat="1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1" fontId="1" fillId="2" borderId="5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left" vertical="center" wrapText="1"/>
    </xf>
    <xf numFmtId="1" fontId="1" fillId="2" borderId="7" xfId="0" applyNumberFormat="1" applyFont="1" applyFill="1" applyBorder="1" applyAlignment="1">
      <alignment vertical="center"/>
    </xf>
    <xf numFmtId="0" fontId="0" fillId="0" borderId="7" xfId="0" applyBorder="1"/>
    <xf numFmtId="0" fontId="0" fillId="0" borderId="8" xfId="0" applyBorder="1"/>
    <xf numFmtId="49" fontId="4" fillId="2" borderId="9" xfId="0" applyNumberFormat="1" applyFont="1" applyFill="1" applyBorder="1" applyAlignment="1">
      <alignment horizontal="left" vertical="center" wrapText="1"/>
    </xf>
    <xf numFmtId="1" fontId="1" fillId="2" borderId="9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vertical="center"/>
    </xf>
    <xf numFmtId="1" fontId="1" fillId="2" borderId="11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left" vertical="center"/>
    </xf>
    <xf numFmtId="1" fontId="5" fillId="3" borderId="13" xfId="0" applyNumberFormat="1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1" fontId="1" fillId="2" borderId="15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vertical="center"/>
    </xf>
    <xf numFmtId="0" fontId="0" fillId="0" borderId="17" xfId="0" applyBorder="1"/>
    <xf numFmtId="49" fontId="6" fillId="2" borderId="5" xfId="0" applyNumberFormat="1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vertical="center"/>
    </xf>
    <xf numFmtId="0" fontId="0" fillId="0" borderId="18" xfId="0" applyBorder="1"/>
    <xf numFmtId="3" fontId="8" fillId="2" borderId="7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 wrapText="1"/>
    </xf>
    <xf numFmtId="1" fontId="1" fillId="2" borderId="13" xfId="0" applyNumberFormat="1" applyFont="1" applyFill="1" applyBorder="1" applyAlignment="1">
      <alignment vertical="center"/>
    </xf>
    <xf numFmtId="0" fontId="0" fillId="0" borderId="13" xfId="0" applyBorder="1"/>
    <xf numFmtId="0" fontId="0" fillId="0" borderId="20" xfId="0" applyBorder="1"/>
    <xf numFmtId="49" fontId="5" fillId="3" borderId="21" xfId="0" applyNumberFormat="1" applyFont="1" applyFill="1" applyBorder="1" applyAlignment="1">
      <alignment horizontal="left" vertical="center"/>
    </xf>
    <xf numFmtId="1" fontId="5" fillId="3" borderId="22" xfId="0" applyNumberFormat="1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1" fillId="0" borderId="15" xfId="0" applyFont="1" applyBorder="1"/>
    <xf numFmtId="0" fontId="1" fillId="0" borderId="11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" fontId="1" fillId="0" borderId="30" xfId="0" applyNumberFormat="1" applyFont="1" applyBorder="1"/>
    <xf numFmtId="49" fontId="2" fillId="2" borderId="31" xfId="0" applyNumberFormat="1" applyFont="1" applyFill="1" applyBorder="1" applyAlignment="1">
      <alignment vertical="center"/>
    </xf>
    <xf numFmtId="1" fontId="1" fillId="0" borderId="32" xfId="0" applyNumberFormat="1" applyFont="1" applyBorder="1"/>
    <xf numFmtId="0" fontId="1" fillId="0" borderId="32" xfId="0" applyFont="1" applyBorder="1"/>
    <xf numFmtId="0" fontId="1" fillId="0" borderId="33" xfId="0" applyFont="1" applyBorder="1"/>
    <xf numFmtId="1" fontId="1" fillId="0" borderId="5" xfId="0" applyNumberFormat="1" applyFont="1" applyBorder="1"/>
    <xf numFmtId="49" fontId="3" fillId="0" borderId="6" xfId="0" applyNumberFormat="1" applyFont="1" applyBorder="1"/>
    <xf numFmtId="1" fontId="1" fillId="0" borderId="7" xfId="0" applyNumberFormat="1" applyFont="1" applyBorder="1"/>
    <xf numFmtId="0" fontId="1" fillId="0" borderId="7" xfId="0" applyFont="1" applyBorder="1"/>
    <xf numFmtId="0" fontId="1" fillId="0" borderId="8" xfId="0" applyFont="1" applyBorder="1"/>
    <xf numFmtId="49" fontId="4" fillId="0" borderId="9" xfId="0" applyNumberFormat="1" applyFont="1" applyBorder="1"/>
    <xf numFmtId="1" fontId="1" fillId="0" borderId="9" xfId="0" applyNumberFormat="1" applyFont="1" applyBorder="1"/>
    <xf numFmtId="0" fontId="1" fillId="0" borderId="9" xfId="0" applyFont="1" applyBorder="1"/>
    <xf numFmtId="0" fontId="1" fillId="0" borderId="34" xfId="0" applyFont="1" applyBorder="1"/>
    <xf numFmtId="49" fontId="7" fillId="2" borderId="10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1" fontId="1" fillId="0" borderId="10" xfId="0" applyNumberFormat="1" applyFont="1" applyBorder="1"/>
    <xf numFmtId="0" fontId="1" fillId="0" borderId="35" xfId="0" applyFont="1" applyBorder="1"/>
    <xf numFmtId="1" fontId="1" fillId="0" borderId="11" xfId="0" applyNumberFormat="1" applyFont="1" applyBorder="1"/>
    <xf numFmtId="49" fontId="5" fillId="3" borderId="36" xfId="0" applyNumberFormat="1" applyFont="1" applyFill="1" applyBorder="1" applyAlignment="1">
      <alignment horizontal="left" vertical="center"/>
    </xf>
    <xf numFmtId="1" fontId="5" fillId="3" borderId="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49" fontId="6" fillId="0" borderId="7" xfId="0" applyNumberFormat="1" applyFont="1" applyBorder="1"/>
    <xf numFmtId="164" fontId="8" fillId="2" borderId="7" xfId="0" applyNumberFormat="1" applyFont="1" applyFill="1" applyBorder="1" applyAlignment="1">
      <alignment horizontal="left" vertical="center"/>
    </xf>
    <xf numFmtId="49" fontId="10" fillId="0" borderId="7" xfId="0" applyNumberFormat="1" applyFont="1" applyBorder="1"/>
    <xf numFmtId="49" fontId="6" fillId="2" borderId="7" xfId="0" applyNumberFormat="1" applyFont="1" applyFill="1" applyBorder="1" applyAlignment="1">
      <alignment horizontal="left" vertical="center" wrapText="1"/>
    </xf>
    <xf numFmtId="165" fontId="7" fillId="2" borderId="7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8" fillId="2" borderId="7" xfId="0" applyNumberFormat="1" applyFont="1" applyFill="1" applyBorder="1" applyAlignment="1">
      <alignment horizontal="left" vertical="center"/>
    </xf>
    <xf numFmtId="167" fontId="7" fillId="2" borderId="7" xfId="0" applyNumberFormat="1" applyFont="1" applyFill="1" applyBorder="1" applyAlignment="1">
      <alignment horizontal="center" vertical="center"/>
    </xf>
    <xf numFmtId="0" fontId="1" fillId="0" borderId="5" xfId="0" applyFont="1" applyBorder="1"/>
    <xf numFmtId="49" fontId="11" fillId="4" borderId="37" xfId="0" applyNumberFormat="1" applyFont="1" applyFill="1" applyBorder="1" applyAlignment="1">
      <alignment horizontal="left"/>
    </xf>
    <xf numFmtId="49" fontId="11" fillId="4" borderId="37" xfId="0" applyNumberFormat="1" applyFont="1" applyFill="1" applyBorder="1" applyAlignment="1">
      <alignment horizontal="right"/>
    </xf>
    <xf numFmtId="49" fontId="11" fillId="4" borderId="38" xfId="0" applyNumberFormat="1" applyFont="1" applyFill="1" applyBorder="1" applyAlignment="1">
      <alignment horizontal="right"/>
    </xf>
    <xf numFmtId="49" fontId="6" fillId="0" borderId="39" xfId="0" applyNumberFormat="1" applyFont="1" applyBorder="1"/>
    <xf numFmtId="164" fontId="6" fillId="0" borderId="40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164" fontId="6" fillId="0" borderId="42" xfId="0" applyNumberFormat="1" applyFont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166" fontId="6" fillId="0" borderId="42" xfId="0" applyNumberFormat="1" applyFont="1" applyBorder="1" applyAlignment="1">
      <alignment horizontal="right"/>
    </xf>
    <xf numFmtId="166" fontId="12" fillId="0" borderId="43" xfId="0" applyNumberFormat="1" applyFont="1" applyBorder="1" applyAlignment="1">
      <alignment horizontal="right"/>
    </xf>
    <xf numFmtId="49" fontId="13" fillId="0" borderId="7" xfId="0" applyNumberFormat="1" applyFont="1" applyBorder="1"/>
    <xf numFmtId="164" fontId="13" fillId="0" borderId="42" xfId="0" applyNumberFormat="1" applyFont="1" applyBorder="1" applyAlignment="1">
      <alignment horizontal="right"/>
    </xf>
    <xf numFmtId="164" fontId="13" fillId="0" borderId="43" xfId="0" applyNumberFormat="1" applyFont="1" applyBorder="1" applyAlignment="1">
      <alignment horizontal="right"/>
    </xf>
    <xf numFmtId="49" fontId="14" fillId="2" borderId="7" xfId="0" applyNumberFormat="1" applyFont="1" applyFill="1" applyBorder="1" applyAlignment="1">
      <alignment horizontal="left" vertical="center" wrapText="1"/>
    </xf>
    <xf numFmtId="165" fontId="14" fillId="2" borderId="44" xfId="0" applyNumberFormat="1" applyFont="1" applyFill="1" applyBorder="1" applyAlignment="1">
      <alignment horizontal="center" vertical="center"/>
    </xf>
    <xf numFmtId="1" fontId="14" fillId="0" borderId="44" xfId="0" applyNumberFormat="1" applyFont="1" applyBorder="1"/>
    <xf numFmtId="49" fontId="14" fillId="2" borderId="44" xfId="0" applyNumberFormat="1" applyFont="1" applyFill="1" applyBorder="1" applyAlignment="1">
      <alignment horizontal="center" vertical="center"/>
    </xf>
    <xf numFmtId="0" fontId="14" fillId="0" borderId="44" xfId="0" applyFont="1" applyBorder="1"/>
    <xf numFmtId="0" fontId="14" fillId="0" borderId="45" xfId="0" applyFont="1" applyBorder="1"/>
    <xf numFmtId="164" fontId="15" fillId="2" borderId="7" xfId="0" applyNumberFormat="1" applyFont="1" applyFill="1" applyBorder="1" applyAlignment="1">
      <alignment horizontal="left" vertical="center"/>
    </xf>
    <xf numFmtId="49" fontId="16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65" fontId="5" fillId="3" borderId="7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49" fontId="7" fillId="0" borderId="7" xfId="0" applyNumberFormat="1" applyFont="1" applyBorder="1"/>
    <xf numFmtId="3" fontId="18" fillId="0" borderId="7" xfId="0" applyNumberFormat="1" applyFont="1" applyBorder="1"/>
    <xf numFmtId="166" fontId="5" fillId="3" borderId="7" xfId="0" applyNumberFormat="1" applyFont="1" applyFill="1" applyBorder="1" applyAlignment="1">
      <alignment vertical="center"/>
    </xf>
    <xf numFmtId="167" fontId="5" fillId="3" borderId="7" xfId="0" applyNumberFormat="1" applyFont="1" applyFill="1" applyBorder="1" applyAlignment="1">
      <alignment vertical="center"/>
    </xf>
    <xf numFmtId="49" fontId="17" fillId="2" borderId="7" xfId="0" applyNumberFormat="1" applyFont="1" applyFill="1" applyBorder="1" applyAlignment="1">
      <alignment horizontal="left" vertical="center" wrapText="1"/>
    </xf>
    <xf numFmtId="164" fontId="16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vertical="top" wrapText="1"/>
    </xf>
    <xf numFmtId="3" fontId="16" fillId="2" borderId="7" xfId="0" applyNumberFormat="1" applyFont="1" applyFill="1" applyBorder="1" applyAlignment="1">
      <alignment horizontal="left" vertical="center"/>
    </xf>
    <xf numFmtId="49" fontId="1" fillId="0" borderId="7" xfId="0" applyNumberFormat="1" applyFont="1" applyBorder="1"/>
    <xf numFmtId="49" fontId="19" fillId="0" borderId="7" xfId="0" applyNumberFormat="1" applyFont="1" applyBorder="1" applyAlignment="1">
      <alignment horizontal="right"/>
    </xf>
    <xf numFmtId="49" fontId="19" fillId="0" borderId="8" xfId="0" applyNumberFormat="1" applyFont="1" applyBorder="1" applyAlignment="1">
      <alignment horizontal="right"/>
    </xf>
    <xf numFmtId="1" fontId="1" fillId="0" borderId="46" xfId="0" applyNumberFormat="1" applyFont="1" applyBorder="1"/>
    <xf numFmtId="0" fontId="0" fillId="0" borderId="49" xfId="0" applyBorder="1"/>
    <xf numFmtId="1" fontId="1" fillId="0" borderId="50" xfId="0" applyNumberFormat="1" applyFont="1" applyBorder="1"/>
    <xf numFmtId="49" fontId="21" fillId="0" borderId="13" xfId="0" applyNumberFormat="1" applyFont="1" applyBorder="1"/>
    <xf numFmtId="1" fontId="1" fillId="0" borderId="13" xfId="0" applyNumberFormat="1" applyFont="1" applyBorder="1"/>
    <xf numFmtId="1" fontId="1" fillId="0" borderId="20" xfId="0" applyNumberFormat="1" applyFont="1" applyBorder="1"/>
    <xf numFmtId="1" fontId="1" fillId="0" borderId="51" xfId="0" applyNumberFormat="1" applyFont="1" applyBorder="1"/>
    <xf numFmtId="49" fontId="3" fillId="0" borderId="16" xfId="0" applyNumberFormat="1" applyFont="1" applyBorder="1"/>
    <xf numFmtId="1" fontId="1" fillId="0" borderId="16" xfId="0" applyNumberFormat="1" applyFont="1" applyBorder="1"/>
    <xf numFmtId="0" fontId="5" fillId="3" borderId="3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49" fontId="7" fillId="0" borderId="5" xfId="0" applyNumberFormat="1" applyFont="1" applyBorder="1"/>
    <xf numFmtId="0" fontId="1" fillId="0" borderId="18" xfId="0" applyFont="1" applyBorder="1"/>
    <xf numFmtId="49" fontId="13" fillId="4" borderId="5" xfId="0" applyNumberFormat="1" applyFont="1" applyFill="1" applyBorder="1"/>
    <xf numFmtId="49" fontId="13" fillId="4" borderId="7" xfId="0" applyNumberFormat="1" applyFont="1" applyFill="1" applyBorder="1" applyAlignment="1">
      <alignment horizontal="center"/>
    </xf>
    <xf numFmtId="49" fontId="13" fillId="4" borderId="18" xfId="0" applyNumberFormat="1" applyFont="1" applyFill="1" applyBorder="1" applyAlignment="1">
      <alignment horizontal="center"/>
    </xf>
    <xf numFmtId="49" fontId="1" fillId="0" borderId="5" xfId="0" applyNumberFormat="1" applyFont="1" applyBorder="1"/>
    <xf numFmtId="3" fontId="1" fillId="0" borderId="7" xfId="0" applyNumberFormat="1" applyFont="1" applyBorder="1"/>
    <xf numFmtId="3" fontId="1" fillId="0" borderId="18" xfId="0" applyNumberFormat="1" applyFont="1" applyBorder="1"/>
    <xf numFmtId="164" fontId="1" fillId="0" borderId="7" xfId="0" applyNumberFormat="1" applyFont="1" applyBorder="1"/>
    <xf numFmtId="164" fontId="1" fillId="0" borderId="18" xfId="0" applyNumberFormat="1" applyFont="1" applyBorder="1"/>
    <xf numFmtId="164" fontId="13" fillId="4" borderId="7" xfId="0" applyNumberFormat="1" applyFont="1" applyFill="1" applyBorder="1"/>
    <xf numFmtId="164" fontId="13" fillId="4" borderId="18" xfId="0" applyNumberFormat="1" applyFont="1" applyFill="1" applyBorder="1"/>
    <xf numFmtId="166" fontId="1" fillId="0" borderId="7" xfId="0" applyNumberFormat="1" applyFont="1" applyBorder="1"/>
    <xf numFmtId="49" fontId="15" fillId="4" borderId="5" xfId="0" applyNumberFormat="1" applyFont="1" applyFill="1" applyBorder="1"/>
    <xf numFmtId="164" fontId="15" fillId="4" borderId="7" xfId="0" applyNumberFormat="1" applyFont="1" applyFill="1" applyBorder="1"/>
    <xf numFmtId="164" fontId="15" fillId="4" borderId="18" xfId="0" applyNumberFormat="1" applyFont="1" applyFill="1" applyBorder="1"/>
    <xf numFmtId="49" fontId="22" fillId="0" borderId="5" xfId="0" applyNumberFormat="1" applyFont="1" applyBorder="1"/>
    <xf numFmtId="164" fontId="22" fillId="0" borderId="7" xfId="0" applyNumberFormat="1" applyFont="1" applyBorder="1"/>
    <xf numFmtId="1" fontId="1" fillId="0" borderId="53" xfId="0" applyNumberFormat="1" applyFont="1" applyBorder="1"/>
    <xf numFmtId="49" fontId="13" fillId="4" borderId="19" xfId="0" applyNumberFormat="1" applyFont="1" applyFill="1" applyBorder="1"/>
    <xf numFmtId="164" fontId="13" fillId="4" borderId="13" xfId="0" applyNumberFormat="1" applyFont="1" applyFill="1" applyBorder="1"/>
    <xf numFmtId="164" fontId="13" fillId="4" borderId="20" xfId="0" applyNumberFormat="1" applyFont="1" applyFill="1" applyBorder="1"/>
    <xf numFmtId="1" fontId="1" fillId="0" borderId="54" xfId="0" applyNumberFormat="1" applyFont="1" applyBorder="1"/>
    <xf numFmtId="49" fontId="21" fillId="0" borderId="55" xfId="0" applyNumberFormat="1" applyFont="1" applyBorder="1"/>
    <xf numFmtId="49" fontId="3" fillId="0" borderId="24" xfId="0" applyNumberFormat="1" applyFont="1" applyBorder="1"/>
    <xf numFmtId="1" fontId="5" fillId="3" borderId="52" xfId="0" applyNumberFormat="1" applyFont="1" applyFill="1" applyBorder="1" applyAlignment="1">
      <alignment horizontal="left" vertical="center"/>
    </xf>
    <xf numFmtId="1" fontId="5" fillId="3" borderId="56" xfId="0" applyNumberFormat="1" applyFont="1" applyFill="1" applyBorder="1" applyAlignment="1">
      <alignment vertical="center"/>
    </xf>
    <xf numFmtId="1" fontId="5" fillId="3" borderId="16" xfId="0" applyNumberFormat="1" applyFont="1" applyFill="1" applyBorder="1" applyAlignment="1">
      <alignment vertical="center"/>
    </xf>
    <xf numFmtId="49" fontId="7" fillId="2" borderId="25" xfId="0" applyNumberFormat="1" applyFont="1" applyFill="1" applyBorder="1" applyAlignment="1">
      <alignment horizontal="left" vertical="center" wrapText="1"/>
    </xf>
    <xf numFmtId="166" fontId="7" fillId="2" borderId="16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left" vertical="center" wrapText="1"/>
    </xf>
    <xf numFmtId="1" fontId="7" fillId="2" borderId="16" xfId="0" applyNumberFormat="1" applyFont="1" applyFill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left" vertical="center" wrapText="1"/>
    </xf>
    <xf numFmtId="164" fontId="13" fillId="2" borderId="16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wrapText="1"/>
    </xf>
    <xf numFmtId="0" fontId="5" fillId="3" borderId="52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vertical="center"/>
    </xf>
    <xf numFmtId="0" fontId="1" fillId="0" borderId="50" xfId="0" applyFont="1" applyBorder="1"/>
    <xf numFmtId="1" fontId="7" fillId="0" borderId="7" xfId="0" applyNumberFormat="1" applyFont="1" applyBorder="1"/>
    <xf numFmtId="49" fontId="7" fillId="0" borderId="18" xfId="0" applyNumberFormat="1" applyFont="1" applyBorder="1"/>
    <xf numFmtId="9" fontId="1" fillId="0" borderId="7" xfId="0" applyNumberFormat="1" applyFont="1" applyBorder="1"/>
    <xf numFmtId="0" fontId="1" fillId="0" borderId="57" xfId="0" applyFont="1" applyBorder="1"/>
    <xf numFmtId="49" fontId="1" fillId="0" borderId="13" xfId="0" applyNumberFormat="1" applyFont="1" applyBorder="1"/>
    <xf numFmtId="168" fontId="1" fillId="0" borderId="13" xfId="0" applyNumberFormat="1" applyFont="1" applyBorder="1"/>
    <xf numFmtId="0" fontId="1" fillId="0" borderId="13" xfId="0" applyFont="1" applyBorder="1"/>
    <xf numFmtId="49" fontId="7" fillId="0" borderId="20" xfId="0" applyNumberFormat="1" applyFont="1" applyBorder="1"/>
    <xf numFmtId="0" fontId="1" fillId="0" borderId="49" xfId="0" applyFont="1" applyBorder="1"/>
    <xf numFmtId="49" fontId="1" fillId="0" borderId="3" xfId="0" applyNumberFormat="1" applyFont="1" applyBorder="1"/>
    <xf numFmtId="1" fontId="7" fillId="0" borderId="3" xfId="0" applyNumberFormat="1" applyFont="1" applyBorder="1"/>
    <xf numFmtId="9" fontId="7" fillId="0" borderId="3" xfId="0" applyNumberFormat="1" applyFont="1" applyBorder="1"/>
    <xf numFmtId="0" fontId="1" fillId="0" borderId="3" xfId="0" applyFont="1" applyBorder="1"/>
    <xf numFmtId="0" fontId="1" fillId="0" borderId="17" xfId="0" applyFont="1" applyBorder="1"/>
    <xf numFmtId="49" fontId="13" fillId="4" borderId="16" xfId="0" applyNumberFormat="1" applyFont="1" applyFill="1" applyBorder="1" applyAlignment="1">
      <alignment horizontal="center" vertical="center"/>
    </xf>
    <xf numFmtId="165" fontId="7" fillId="2" borderId="16" xfId="0" applyNumberFormat="1" applyFont="1" applyFill="1" applyBorder="1" applyAlignment="1">
      <alignment horizontal="center" vertical="center"/>
    </xf>
    <xf numFmtId="49" fontId="23" fillId="2" borderId="16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0" fontId="1" fillId="0" borderId="46" xfId="0" applyFont="1" applyBorder="1"/>
    <xf numFmtId="49" fontId="1" fillId="0" borderId="47" xfId="0" applyNumberFormat="1" applyFont="1" applyBorder="1"/>
    <xf numFmtId="0" fontId="1" fillId="0" borderId="47" xfId="0" applyFont="1" applyBorder="1"/>
    <xf numFmtId="0" fontId="1" fillId="0" borderId="58" xfId="0" applyFont="1" applyBorder="1"/>
    <xf numFmtId="1" fontId="1" fillId="0" borderId="59" xfId="0" applyNumberFormat="1" applyFont="1" applyBorder="1"/>
    <xf numFmtId="49" fontId="21" fillId="0" borderId="60" xfId="0" applyNumberFormat="1" applyFont="1" applyBorder="1"/>
    <xf numFmtId="1" fontId="1" fillId="0" borderId="60" xfId="0" applyNumberFormat="1" applyFont="1" applyBorder="1"/>
    <xf numFmtId="1" fontId="1" fillId="0" borderId="61" xfId="0" applyNumberFormat="1" applyFont="1" applyBorder="1"/>
    <xf numFmtId="49" fontId="21" fillId="0" borderId="62" xfId="0" applyNumberFormat="1" applyFont="1" applyBorder="1"/>
    <xf numFmtId="1" fontId="1" fillId="0" borderId="62" xfId="0" applyNumberFormat="1" applyFont="1" applyBorder="1"/>
    <xf numFmtId="1" fontId="1" fillId="0" borderId="63" xfId="0" applyNumberFormat="1" applyFont="1" applyBorder="1"/>
    <xf numFmtId="1" fontId="1" fillId="0" borderId="24" xfId="0" applyNumberFormat="1" applyFont="1" applyBorder="1"/>
    <xf numFmtId="1" fontId="13" fillId="4" borderId="51" xfId="0" applyNumberFormat="1" applyFont="1" applyFill="1" applyBorder="1"/>
    <xf numFmtId="0" fontId="7" fillId="2" borderId="16" xfId="0" applyFont="1" applyFill="1" applyBorder="1" applyAlignment="1">
      <alignment horizontal="center" vertical="center"/>
    </xf>
    <xf numFmtId="167" fontId="7" fillId="2" borderId="16" xfId="0" applyNumberFormat="1" applyFont="1" applyFill="1" applyBorder="1" applyAlignment="1">
      <alignment horizontal="center" vertical="center"/>
    </xf>
    <xf numFmtId="1" fontId="5" fillId="3" borderId="64" xfId="0" applyNumberFormat="1" applyFont="1" applyFill="1" applyBorder="1" applyAlignment="1">
      <alignment horizontal="left" vertical="center"/>
    </xf>
    <xf numFmtId="49" fontId="5" fillId="3" borderId="16" xfId="0" applyNumberFormat="1" applyFont="1" applyFill="1" applyBorder="1" applyAlignment="1">
      <alignment vertical="center"/>
    </xf>
    <xf numFmtId="167" fontId="5" fillId="3" borderId="16" xfId="0" applyNumberFormat="1" applyFont="1" applyFill="1" applyBorder="1" applyAlignment="1">
      <alignment vertical="center"/>
    </xf>
    <xf numFmtId="1" fontId="13" fillId="4" borderId="16" xfId="0" applyNumberFormat="1" applyFont="1" applyFill="1" applyBorder="1"/>
    <xf numFmtId="49" fontId="1" fillId="0" borderId="16" xfId="0" applyNumberFormat="1" applyFont="1" applyBorder="1"/>
    <xf numFmtId="49" fontId="23" fillId="0" borderId="16" xfId="0" applyNumberFormat="1" applyFont="1" applyBorder="1" applyAlignment="1">
      <alignment wrapText="1"/>
    </xf>
    <xf numFmtId="1" fontId="24" fillId="5" borderId="51" xfId="0" applyNumberFormat="1" applyFont="1" applyFill="1" applyBorder="1"/>
    <xf numFmtId="49" fontId="10" fillId="5" borderId="16" xfId="0" applyNumberFormat="1" applyFont="1" applyFill="1" applyBorder="1"/>
    <xf numFmtId="1" fontId="1" fillId="5" borderId="16" xfId="0" applyNumberFormat="1" applyFont="1" applyFill="1" applyBorder="1"/>
    <xf numFmtId="49" fontId="7" fillId="4" borderId="16" xfId="0" applyNumberFormat="1" applyFont="1" applyFill="1" applyBorder="1" applyAlignment="1">
      <alignment horizontal="center" vertical="center"/>
    </xf>
    <xf numFmtId="49" fontId="10" fillId="0" borderId="16" xfId="0" applyNumberFormat="1" applyFont="1" applyBorder="1"/>
    <xf numFmtId="165" fontId="5" fillId="3" borderId="16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9" fontId="5" fillId="3" borderId="5" xfId="0" applyNumberFormat="1" applyFont="1" applyFill="1" applyBorder="1" applyAlignment="1">
      <alignment horizontal="left" vertical="center"/>
    </xf>
    <xf numFmtId="0" fontId="5" fillId="3" borderId="18" xfId="0" applyFont="1" applyFill="1" applyBorder="1" applyAlignment="1">
      <alignment vertical="center"/>
    </xf>
    <xf numFmtId="169" fontId="1" fillId="0" borderId="7" xfId="0" applyNumberFormat="1" applyFont="1" applyBorder="1"/>
    <xf numFmtId="170" fontId="1" fillId="0" borderId="7" xfId="0" applyNumberFormat="1" applyFont="1" applyBorder="1"/>
    <xf numFmtId="164" fontId="5" fillId="3" borderId="7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/>
    </xf>
    <xf numFmtId="49" fontId="1" fillId="0" borderId="19" xfId="0" applyNumberFormat="1" applyFont="1" applyBorder="1"/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0" xfId="0" applyFont="1" applyBorder="1"/>
    <xf numFmtId="49" fontId="21" fillId="0" borderId="62" xfId="0" applyNumberFormat="1" applyFont="1" applyBorder="1" applyAlignment="1">
      <alignment vertical="center"/>
    </xf>
    <xf numFmtId="1" fontId="5" fillId="3" borderId="52" xfId="0" applyNumberFormat="1" applyFont="1" applyFill="1" applyBorder="1"/>
    <xf numFmtId="49" fontId="5" fillId="3" borderId="13" xfId="0" applyNumberFormat="1" applyFont="1" applyFill="1" applyBorder="1"/>
    <xf numFmtId="0" fontId="5" fillId="3" borderId="13" xfId="0" applyFont="1" applyFill="1" applyBorder="1"/>
    <xf numFmtId="0" fontId="5" fillId="3" borderId="23" xfId="0" applyFont="1" applyFill="1" applyBorder="1"/>
    <xf numFmtId="164" fontId="1" fillId="0" borderId="16" xfId="0" applyNumberFormat="1" applyFont="1" applyBorder="1" applyAlignment="1">
      <alignment horizontal="center"/>
    </xf>
    <xf numFmtId="2" fontId="7" fillId="2" borderId="16" xfId="0" applyNumberFormat="1" applyFont="1" applyFill="1" applyBorder="1" applyAlignment="1">
      <alignment horizontal="center" vertical="center"/>
    </xf>
    <xf numFmtId="49" fontId="1" fillId="0" borderId="24" xfId="0" applyNumberFormat="1" applyFont="1" applyBorder="1"/>
    <xf numFmtId="164" fontId="1" fillId="0" borderId="24" xfId="0" applyNumberFormat="1" applyFont="1" applyBorder="1" applyAlignment="1">
      <alignment horizontal="center"/>
    </xf>
    <xf numFmtId="49" fontId="5" fillId="3" borderId="7" xfId="0" applyNumberFormat="1" applyFont="1" applyFill="1" applyBorder="1"/>
    <xf numFmtId="0" fontId="5" fillId="3" borderId="7" xfId="0" applyFont="1" applyFill="1" applyBorder="1"/>
    <xf numFmtId="1" fontId="1" fillId="0" borderId="25" xfId="0" applyNumberFormat="1" applyFont="1" applyBorder="1"/>
    <xf numFmtId="0" fontId="5" fillId="3" borderId="65" xfId="0" applyFont="1" applyFill="1" applyBorder="1" applyAlignment="1">
      <alignment horizontal="left" vertical="center"/>
    </xf>
    <xf numFmtId="0" fontId="5" fillId="3" borderId="66" xfId="0" applyFont="1" applyFill="1" applyBorder="1" applyAlignment="1">
      <alignment vertical="center"/>
    </xf>
    <xf numFmtId="0" fontId="5" fillId="3" borderId="67" xfId="0" applyFont="1" applyFill="1" applyBorder="1" applyAlignment="1">
      <alignment vertical="center"/>
    </xf>
    <xf numFmtId="0" fontId="5" fillId="3" borderId="68" xfId="0" applyFont="1" applyFill="1" applyBorder="1" applyAlignment="1">
      <alignment vertical="center"/>
    </xf>
    <xf numFmtId="0" fontId="5" fillId="3" borderId="69" xfId="0" applyFont="1" applyFill="1" applyBorder="1" applyAlignment="1">
      <alignment vertical="center"/>
    </xf>
    <xf numFmtId="0" fontId="5" fillId="3" borderId="70" xfId="0" applyFont="1" applyFill="1" applyBorder="1" applyAlignment="1">
      <alignment horizontal="left" vertical="center"/>
    </xf>
    <xf numFmtId="49" fontId="5" fillId="3" borderId="22" xfId="0" applyNumberFormat="1" applyFont="1" applyFill="1" applyBorder="1" applyAlignment="1">
      <alignment vertical="center"/>
    </xf>
    <xf numFmtId="0" fontId="5" fillId="3" borderId="71" xfId="0" applyFont="1" applyFill="1" applyBorder="1" applyAlignment="1">
      <alignment vertical="center"/>
    </xf>
    <xf numFmtId="0" fontId="5" fillId="3" borderId="72" xfId="0" applyFont="1" applyFill="1" applyBorder="1" applyAlignment="1">
      <alignment vertical="center"/>
    </xf>
    <xf numFmtId="0" fontId="13" fillId="4" borderId="73" xfId="0" applyFont="1" applyFill="1" applyBorder="1"/>
    <xf numFmtId="49" fontId="13" fillId="4" borderId="22" xfId="0" applyNumberFormat="1" applyFont="1" applyFill="1" applyBorder="1"/>
    <xf numFmtId="0" fontId="13" fillId="4" borderId="71" xfId="0" applyFont="1" applyFill="1" applyBorder="1"/>
    <xf numFmtId="0" fontId="13" fillId="4" borderId="72" xfId="0" applyFont="1" applyFill="1" applyBorder="1"/>
    <xf numFmtId="0" fontId="1" fillId="0" borderId="73" xfId="0" applyFont="1" applyBorder="1"/>
    <xf numFmtId="49" fontId="1" fillId="0" borderId="22" xfId="0" applyNumberFormat="1" applyFont="1" applyBorder="1"/>
    <xf numFmtId="0" fontId="1" fillId="0" borderId="71" xfId="0" applyFont="1" applyBorder="1"/>
    <xf numFmtId="165" fontId="1" fillId="0" borderId="22" xfId="0" applyNumberFormat="1" applyFont="1" applyBorder="1" applyAlignment="1">
      <alignment horizontal="center"/>
    </xf>
    <xf numFmtId="0" fontId="1" fillId="0" borderId="72" xfId="0" applyFont="1" applyBorder="1"/>
    <xf numFmtId="49" fontId="1" fillId="4" borderId="22" xfId="0" applyNumberFormat="1" applyFont="1" applyFill="1" applyBorder="1"/>
    <xf numFmtId="164" fontId="7" fillId="4" borderId="71" xfId="0" applyNumberFormat="1" applyFont="1" applyFill="1" applyBorder="1"/>
    <xf numFmtId="0" fontId="1" fillId="0" borderId="22" xfId="0" applyFont="1" applyBorder="1"/>
    <xf numFmtId="166" fontId="7" fillId="4" borderId="71" xfId="0" applyNumberFormat="1" applyFont="1" applyFill="1" applyBorder="1"/>
    <xf numFmtId="49" fontId="1" fillId="4" borderId="71" xfId="0" applyNumberFormat="1" applyFont="1" applyFill="1" applyBorder="1" applyAlignment="1">
      <alignment horizontal="right"/>
    </xf>
    <xf numFmtId="49" fontId="1" fillId="5" borderId="22" xfId="0" applyNumberFormat="1" applyFont="1" applyFill="1" applyBorder="1"/>
    <xf numFmtId="0" fontId="1" fillId="5" borderId="71" xfId="0" applyFont="1" applyFill="1" applyBorder="1"/>
    <xf numFmtId="167" fontId="1" fillId="5" borderId="22" xfId="0" applyNumberFormat="1" applyFont="1" applyFill="1" applyBorder="1"/>
    <xf numFmtId="0" fontId="1" fillId="5" borderId="22" xfId="0" applyNumberFormat="1" applyFont="1" applyFill="1" applyBorder="1"/>
    <xf numFmtId="0" fontId="1" fillId="5" borderId="72" xfId="0" applyFont="1" applyFill="1" applyBorder="1"/>
    <xf numFmtId="164" fontId="1" fillId="5" borderId="22" xfId="0" applyNumberFormat="1" applyFont="1" applyFill="1" applyBorder="1" applyAlignment="1">
      <alignment horizontal="center"/>
    </xf>
    <xf numFmtId="1" fontId="13" fillId="2" borderId="51" xfId="0" applyNumberFormat="1" applyFont="1" applyFill="1" applyBorder="1"/>
    <xf numFmtId="0" fontId="0" fillId="0" borderId="74" xfId="0" applyBorder="1"/>
    <xf numFmtId="49" fontId="22" fillId="0" borderId="7" xfId="0" applyNumberFormat="1" applyFont="1" applyBorder="1"/>
    <xf numFmtId="164" fontId="13" fillId="0" borderId="8" xfId="0" applyNumberFormat="1" applyFont="1" applyBorder="1"/>
    <xf numFmtId="0" fontId="0" fillId="0" borderId="75" xfId="0" applyBorder="1"/>
    <xf numFmtId="49" fontId="13" fillId="0" borderId="47" xfId="0" applyNumberFormat="1" applyFont="1" applyBorder="1"/>
    <xf numFmtId="0" fontId="0" fillId="0" borderId="47" xfId="0" applyBorder="1"/>
    <xf numFmtId="164" fontId="15" fillId="0" borderId="48" xfId="0" applyNumberFormat="1" applyFont="1" applyBorder="1"/>
    <xf numFmtId="49" fontId="9" fillId="2" borderId="15" xfId="0" applyNumberFormat="1" applyFont="1" applyFill="1" applyBorder="1" applyAlignment="1">
      <alignment vertical="top" wrapText="1"/>
    </xf>
    <xf numFmtId="49" fontId="7" fillId="2" borderId="25" xfId="0" applyNumberFormat="1" applyFont="1" applyFill="1" applyBorder="1" applyAlignment="1">
      <alignment vertical="top" wrapText="1"/>
    </xf>
    <xf numFmtId="49" fontId="9" fillId="2" borderId="25" xfId="0" applyNumberFormat="1" applyFont="1" applyFill="1" applyBorder="1" applyAlignment="1">
      <alignment vertical="top" wrapText="1"/>
    </xf>
    <xf numFmtId="49" fontId="9" fillId="2" borderId="24" xfId="0" applyNumberFormat="1" applyFont="1" applyFill="1" applyBorder="1" applyAlignment="1">
      <alignment vertical="top" wrapText="1"/>
    </xf>
    <xf numFmtId="49" fontId="6" fillId="2" borderId="16" xfId="0" applyNumberFormat="1" applyFont="1" applyFill="1" applyBorder="1" applyAlignment="1">
      <alignment vertical="top" wrapText="1"/>
    </xf>
    <xf numFmtId="49" fontId="17" fillId="2" borderId="7" xfId="0" applyNumberFormat="1" applyFont="1" applyFill="1" applyBorder="1" applyAlignment="1">
      <alignment vertical="top" wrapText="1"/>
    </xf>
    <xf numFmtId="49" fontId="17" fillId="2" borderId="8" xfId="0" applyNumberFormat="1" applyFont="1" applyFill="1" applyBorder="1" applyAlignment="1">
      <alignment vertical="top" wrapText="1"/>
    </xf>
    <xf numFmtId="49" fontId="9" fillId="2" borderId="7" xfId="0" applyNumberFormat="1" applyFont="1" applyFill="1" applyBorder="1" applyAlignment="1">
      <alignment vertical="center" wrapText="1"/>
    </xf>
    <xf numFmtId="49" fontId="9" fillId="2" borderId="8" xfId="0" applyNumberFormat="1" applyFont="1" applyFill="1" applyBorder="1" applyAlignment="1">
      <alignment vertical="center" wrapText="1"/>
    </xf>
    <xf numFmtId="49" fontId="20" fillId="2" borderId="7" xfId="0" applyNumberFormat="1" applyFont="1" applyFill="1" applyBorder="1" applyAlignment="1">
      <alignment vertical="top" wrapText="1"/>
    </xf>
    <xf numFmtId="49" fontId="20" fillId="2" borderId="8" xfId="0" applyNumberFormat="1" applyFont="1" applyFill="1" applyBorder="1" applyAlignment="1">
      <alignment vertical="top" wrapText="1"/>
    </xf>
    <xf numFmtId="49" fontId="20" fillId="2" borderId="47" xfId="0" applyNumberFormat="1" applyFont="1" applyFill="1" applyBorder="1" applyAlignment="1">
      <alignment vertical="top" wrapText="1"/>
    </xf>
    <xf numFmtId="49" fontId="20" fillId="2" borderId="48" xfId="0" applyNumberFormat="1" applyFont="1" applyFill="1" applyBorder="1" applyAlignment="1">
      <alignment vertical="top" wrapText="1"/>
    </xf>
    <xf numFmtId="49" fontId="5" fillId="3" borderId="52" xfId="0" applyNumberFormat="1" applyFont="1" applyFill="1" applyBorder="1" applyAlignment="1">
      <alignment horizontal="left" vertical="center"/>
    </xf>
    <xf numFmtId="0" fontId="0" fillId="0" borderId="3" xfId="0" applyBorder="1"/>
    <xf numFmtId="49" fontId="5" fillId="3" borderId="13" xfId="0" applyNumberFormat="1" applyFont="1" applyFill="1" applyBorder="1" applyAlignment="1">
      <alignment vertical="center"/>
    </xf>
    <xf numFmtId="49" fontId="23" fillId="2" borderId="16" xfId="0" applyNumberFormat="1" applyFont="1" applyFill="1" applyBorder="1" applyAlignment="1">
      <alignment horizontal="left" vertical="top" wrapText="1"/>
    </xf>
    <xf numFmtId="0" fontId="0" fillId="0" borderId="16" xfId="0" applyBorder="1"/>
    <xf numFmtId="49" fontId="7" fillId="0" borderId="18" xfId="0" applyNumberFormat="1" applyFont="1" applyBorder="1" applyAlignment="1">
      <alignment vertical="top"/>
    </xf>
    <xf numFmtId="0" fontId="0" fillId="0" borderId="18" xfId="0" applyBorder="1"/>
    <xf numFmtId="49" fontId="10" fillId="0" borderId="16" xfId="0" applyNumberFormat="1" applyFont="1" applyBorder="1"/>
    <xf numFmtId="49" fontId="23" fillId="0" borderId="16" xfId="0" applyNumberFormat="1" applyFont="1" applyBorder="1"/>
    <xf numFmtId="1" fontId="1" fillId="0" borderId="16" xfId="0" applyNumberFormat="1" applyFont="1" applyBorder="1" applyAlignment="1">
      <alignment wrapText="1"/>
    </xf>
    <xf numFmtId="49" fontId="10" fillId="6" borderId="62" xfId="0" applyNumberFormat="1" applyFont="1" applyFill="1" applyBorder="1"/>
    <xf numFmtId="49" fontId="10" fillId="6" borderId="63" xfId="0" applyNumberFormat="1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2300"/>
      <rgbColor rgb="FFAAAAAA"/>
      <rgbColor rgb="FF6B6B6B"/>
      <rgbColor rgb="FF8A8A8A"/>
      <rgbColor rgb="FF161616"/>
      <rgbColor rgb="FF1C1C1C"/>
      <rgbColor rgb="FF6E6E6E"/>
      <rgbColor rgb="FFF2F2F2"/>
      <rgbColor rgb="FFBFBFBF"/>
      <rgbColor rgb="FFDCDCDC"/>
      <rgbColor rgb="FFDDDDDD"/>
      <rgbColor rgb="FFD8D8D8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workbookViewId="0"/>
  </sheetViews>
  <sheetFormatPr baseColWidth="10" defaultColWidth="26" defaultRowHeight="15" customHeight="1" x14ac:dyDescent="0.2"/>
  <cols>
    <col min="1" max="1" width="2" style="1" customWidth="1"/>
    <col min="2" max="2" width="42" style="1" customWidth="1"/>
    <col min="3" max="4" width="34" style="1" customWidth="1"/>
    <col min="5" max="5" width="6.5" style="1" customWidth="1"/>
    <col min="6" max="6" width="1.5" style="1" customWidth="1"/>
    <col min="7" max="7" width="15.6640625" style="1" customWidth="1"/>
    <col min="8" max="8" width="9.5" style="1" customWidth="1"/>
    <col min="9" max="9" width="26" style="1" customWidth="1"/>
    <col min="10" max="16384" width="26" style="1"/>
  </cols>
  <sheetData>
    <row r="1" spans="1:8" ht="30" customHeight="1" x14ac:dyDescent="0.2">
      <c r="A1" s="2"/>
      <c r="B1" s="3" t="s">
        <v>0</v>
      </c>
      <c r="C1" s="4"/>
      <c r="D1" s="4"/>
      <c r="E1" s="4"/>
      <c r="F1" s="5"/>
      <c r="G1" s="5"/>
      <c r="H1" s="6"/>
    </row>
    <row r="2" spans="1:8" ht="28.5" customHeight="1" x14ac:dyDescent="0.2">
      <c r="A2" s="7"/>
      <c r="B2" s="8" t="s">
        <v>1</v>
      </c>
      <c r="C2" s="9"/>
      <c r="D2" s="9"/>
      <c r="E2" s="9"/>
      <c r="F2" s="10"/>
      <c r="G2" s="10"/>
      <c r="H2" s="11"/>
    </row>
    <row r="3" spans="1:8" ht="28.5" customHeight="1" x14ac:dyDescent="0.2">
      <c r="A3" s="7"/>
      <c r="B3" s="12" t="s">
        <v>2</v>
      </c>
      <c r="C3" s="13"/>
      <c r="D3" s="13"/>
      <c r="E3" s="9"/>
      <c r="F3" s="10"/>
      <c r="G3" s="10"/>
      <c r="H3" s="11"/>
    </row>
    <row r="4" spans="1:8" ht="28.5" customHeight="1" x14ac:dyDescent="0.2">
      <c r="A4" s="7"/>
      <c r="B4" s="14"/>
      <c r="C4" s="15"/>
      <c r="D4" s="15"/>
      <c r="E4" s="9"/>
      <c r="F4" s="10"/>
      <c r="G4" s="10"/>
      <c r="H4" s="11"/>
    </row>
    <row r="5" spans="1:8" ht="19.5" customHeight="1" x14ac:dyDescent="0.2">
      <c r="A5" s="16"/>
      <c r="B5" s="17" t="s">
        <v>3</v>
      </c>
      <c r="C5" s="18"/>
      <c r="D5" s="18"/>
      <c r="E5" s="18"/>
      <c r="F5" s="19"/>
      <c r="G5" s="19"/>
      <c r="H5" s="20"/>
    </row>
    <row r="6" spans="1:8" ht="45.75" customHeight="1" x14ac:dyDescent="0.2">
      <c r="A6" s="21"/>
      <c r="B6" s="271" t="s">
        <v>4</v>
      </c>
      <c r="C6" s="271"/>
      <c r="D6" s="271"/>
      <c r="E6" s="271"/>
      <c r="F6" s="271"/>
      <c r="G6" s="271"/>
      <c r="H6" s="271"/>
    </row>
    <row r="7" spans="1:8" ht="28.5" customHeight="1" x14ac:dyDescent="0.2">
      <c r="A7" s="7"/>
      <c r="B7" s="22"/>
      <c r="C7" s="4"/>
      <c r="D7" s="4"/>
      <c r="E7" s="4"/>
      <c r="F7" s="5"/>
      <c r="G7" s="5"/>
      <c r="H7" s="6"/>
    </row>
    <row r="8" spans="1:8" ht="19.5" customHeight="1" x14ac:dyDescent="0.2">
      <c r="A8" s="16"/>
      <c r="B8" s="17" t="s">
        <v>5</v>
      </c>
      <c r="C8" s="18"/>
      <c r="D8" s="18"/>
      <c r="E8" s="18"/>
      <c r="F8" s="19"/>
      <c r="G8" s="19"/>
      <c r="H8" s="20"/>
    </row>
    <row r="9" spans="1:8" ht="28.5" customHeight="1" x14ac:dyDescent="0.2">
      <c r="A9" s="21"/>
      <c r="B9" s="23" t="s">
        <v>6</v>
      </c>
      <c r="C9" s="24" t="s">
        <v>7</v>
      </c>
      <c r="D9" s="4"/>
      <c r="E9" s="4"/>
      <c r="F9" s="5"/>
      <c r="G9" s="5"/>
      <c r="H9" s="25"/>
    </row>
    <row r="10" spans="1:8" ht="28.5" customHeight="1" x14ac:dyDescent="0.2">
      <c r="A10" s="21"/>
      <c r="B10" s="26" t="s">
        <v>8</v>
      </c>
      <c r="C10" s="27" t="s">
        <v>9</v>
      </c>
      <c r="D10" s="9"/>
      <c r="E10" s="9"/>
      <c r="F10" s="10"/>
      <c r="G10" s="10"/>
      <c r="H10" s="28"/>
    </row>
    <row r="11" spans="1:8" ht="28.5" customHeight="1" x14ac:dyDescent="0.2">
      <c r="A11" s="21"/>
      <c r="B11" s="26" t="s">
        <v>10</v>
      </c>
      <c r="C11" s="27" t="s">
        <v>11</v>
      </c>
      <c r="D11" s="9"/>
      <c r="E11" s="9"/>
      <c r="F11" s="10"/>
      <c r="G11" s="10"/>
      <c r="H11" s="28"/>
    </row>
    <row r="12" spans="1:8" ht="28.5" customHeight="1" x14ac:dyDescent="0.2">
      <c r="A12" s="21"/>
      <c r="B12" s="26" t="s">
        <v>12</v>
      </c>
      <c r="C12" s="27" t="s">
        <v>13</v>
      </c>
      <c r="D12" s="9"/>
      <c r="E12" s="9"/>
      <c r="F12" s="10"/>
      <c r="G12" s="10"/>
      <c r="H12" s="28"/>
    </row>
    <row r="13" spans="1:8" ht="28.5" customHeight="1" x14ac:dyDescent="0.2">
      <c r="A13" s="21"/>
      <c r="B13" s="26" t="s">
        <v>14</v>
      </c>
      <c r="C13" s="29">
        <v>20310</v>
      </c>
      <c r="D13" s="9"/>
      <c r="E13" s="9"/>
      <c r="F13" s="10"/>
      <c r="G13" s="10"/>
      <c r="H13" s="28"/>
    </row>
    <row r="14" spans="1:8" ht="28.5" customHeight="1" x14ac:dyDescent="0.2">
      <c r="A14" s="21"/>
      <c r="B14" s="26" t="s">
        <v>15</v>
      </c>
      <c r="C14" s="27" t="s">
        <v>16</v>
      </c>
      <c r="D14" s="9"/>
      <c r="E14" s="9"/>
      <c r="F14" s="10"/>
      <c r="G14" s="10"/>
      <c r="H14" s="28"/>
    </row>
    <row r="15" spans="1:8" ht="28.5" customHeight="1" x14ac:dyDescent="0.2">
      <c r="A15" s="21"/>
      <c r="B15" s="30"/>
      <c r="C15" s="31"/>
      <c r="D15" s="31"/>
      <c r="E15" s="31"/>
      <c r="F15" s="32"/>
      <c r="G15" s="32"/>
      <c r="H15" s="33"/>
    </row>
    <row r="16" spans="1:8" ht="19.5" customHeight="1" x14ac:dyDescent="0.2">
      <c r="A16" s="16"/>
      <c r="B16" s="34" t="s">
        <v>17</v>
      </c>
      <c r="C16" s="35"/>
      <c r="D16" s="35"/>
      <c r="E16" s="35"/>
      <c r="F16" s="36"/>
      <c r="G16" s="36"/>
      <c r="H16" s="37"/>
    </row>
    <row r="17" spans="1:8" ht="43.5" customHeight="1" x14ac:dyDescent="0.2">
      <c r="A17" s="38"/>
      <c r="B17" s="270" t="s">
        <v>18</v>
      </c>
      <c r="C17" s="270"/>
      <c r="D17" s="270"/>
      <c r="E17" s="270"/>
      <c r="F17" s="270"/>
      <c r="G17" s="270"/>
      <c r="H17" s="270"/>
    </row>
    <row r="18" spans="1:8" ht="43.5" customHeight="1" x14ac:dyDescent="0.2">
      <c r="A18" s="38"/>
      <c r="B18" s="267" t="s">
        <v>19</v>
      </c>
      <c r="C18" s="267"/>
      <c r="D18" s="267"/>
      <c r="E18" s="267"/>
      <c r="F18" s="267"/>
      <c r="G18" s="267"/>
      <c r="H18" s="267"/>
    </row>
    <row r="19" spans="1:8" ht="43.5" customHeight="1" x14ac:dyDescent="0.2">
      <c r="A19" s="38"/>
      <c r="B19" s="267" t="s">
        <v>20</v>
      </c>
      <c r="C19" s="267"/>
      <c r="D19" s="267"/>
      <c r="E19" s="267"/>
      <c r="F19" s="267"/>
      <c r="G19" s="267"/>
      <c r="H19" s="267"/>
    </row>
    <row r="20" spans="1:8" ht="43.5" customHeight="1" x14ac:dyDescent="0.2">
      <c r="A20" s="38"/>
      <c r="B20" s="267" t="s">
        <v>21</v>
      </c>
      <c r="C20" s="267"/>
      <c r="D20" s="267"/>
      <c r="E20" s="267"/>
      <c r="F20" s="267"/>
      <c r="G20" s="267"/>
      <c r="H20" s="267"/>
    </row>
    <row r="21" spans="1:8" ht="15.75" customHeight="1" x14ac:dyDescent="0.2">
      <c r="A21" s="38"/>
      <c r="B21" s="269" t="s">
        <v>22</v>
      </c>
      <c r="C21" s="269"/>
      <c r="D21" s="269"/>
      <c r="E21" s="269"/>
      <c r="F21" s="269"/>
      <c r="G21" s="269"/>
      <c r="H21" s="269"/>
    </row>
    <row r="22" spans="1:8" ht="19.5" customHeight="1" x14ac:dyDescent="0.2">
      <c r="A22" s="39"/>
      <c r="B22" s="34" t="s">
        <v>23</v>
      </c>
      <c r="C22" s="36"/>
      <c r="D22" s="36"/>
      <c r="E22" s="36"/>
      <c r="F22" s="36"/>
      <c r="G22" s="36"/>
      <c r="H22" s="37"/>
    </row>
    <row r="23" spans="1:8" ht="15.75" customHeight="1" x14ac:dyDescent="0.2">
      <c r="A23" s="38"/>
      <c r="B23" s="270" t="s">
        <v>24</v>
      </c>
      <c r="C23" s="270"/>
      <c r="D23" s="270"/>
      <c r="E23" s="270"/>
      <c r="F23" s="270"/>
      <c r="G23" s="270"/>
      <c r="H23" s="270"/>
    </row>
    <row r="24" spans="1:8" ht="15.75" customHeight="1" x14ac:dyDescent="0.2">
      <c r="A24" s="38"/>
      <c r="B24" s="267" t="s">
        <v>25</v>
      </c>
      <c r="C24" s="267"/>
      <c r="D24" s="267"/>
      <c r="E24" s="267"/>
      <c r="F24" s="267"/>
      <c r="G24" s="267"/>
      <c r="H24" s="267"/>
    </row>
    <row r="25" spans="1:8" ht="15.75" customHeight="1" x14ac:dyDescent="0.2">
      <c r="A25" s="38"/>
      <c r="B25" s="267" t="s">
        <v>26</v>
      </c>
      <c r="C25" s="267"/>
      <c r="D25" s="267"/>
      <c r="E25" s="267"/>
      <c r="F25" s="267"/>
      <c r="G25" s="267"/>
      <c r="H25" s="267"/>
    </row>
    <row r="26" spans="1:8" ht="15.75" customHeight="1" x14ac:dyDescent="0.2">
      <c r="A26" s="38"/>
      <c r="B26" s="267" t="s">
        <v>27</v>
      </c>
      <c r="C26" s="267"/>
      <c r="D26" s="267"/>
      <c r="E26" s="267"/>
      <c r="F26" s="267"/>
      <c r="G26" s="267"/>
      <c r="H26" s="267"/>
    </row>
    <row r="27" spans="1:8" ht="15.75" customHeight="1" x14ac:dyDescent="0.2">
      <c r="A27" s="38"/>
      <c r="B27" s="267" t="s">
        <v>28</v>
      </c>
      <c r="C27" s="267"/>
      <c r="D27" s="267"/>
      <c r="E27" s="267"/>
      <c r="F27" s="267"/>
      <c r="G27" s="267"/>
      <c r="H27" s="267"/>
    </row>
    <row r="28" spans="1:8" ht="15.75" customHeight="1" x14ac:dyDescent="0.2">
      <c r="A28" s="38"/>
      <c r="B28" s="267" t="s">
        <v>29</v>
      </c>
      <c r="C28" s="267"/>
      <c r="D28" s="267"/>
      <c r="E28" s="267"/>
      <c r="F28" s="267"/>
      <c r="G28" s="267"/>
      <c r="H28" s="267"/>
    </row>
    <row r="29" spans="1:8" ht="15.75" customHeight="1" x14ac:dyDescent="0.2">
      <c r="A29" s="40"/>
      <c r="B29" s="268" t="s">
        <v>30</v>
      </c>
      <c r="C29" s="268"/>
      <c r="D29" s="268"/>
      <c r="E29" s="268"/>
      <c r="F29" s="268"/>
      <c r="G29" s="268"/>
      <c r="H29" s="268"/>
    </row>
  </sheetData>
  <mergeCells count="13">
    <mergeCell ref="B6:H6"/>
    <mergeCell ref="B17:H17"/>
    <mergeCell ref="B18:H18"/>
    <mergeCell ref="B19:H19"/>
    <mergeCell ref="B20:H20"/>
    <mergeCell ref="B26:H26"/>
    <mergeCell ref="B27:H27"/>
    <mergeCell ref="B28:H28"/>
    <mergeCell ref="B29:H29"/>
    <mergeCell ref="B21:H21"/>
    <mergeCell ref="B23:H23"/>
    <mergeCell ref="B24:H24"/>
    <mergeCell ref="B25:H25"/>
  </mergeCells>
  <pageMargins left="0.4" right="0.4" top="0.5" bottom="0.5" header="0.51181100000000002" footer="0.51180599999999998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showGridLines="0" workbookViewId="0">
      <selection activeCell="D6" sqref="D6"/>
    </sheetView>
  </sheetViews>
  <sheetFormatPr baseColWidth="10" defaultColWidth="17" defaultRowHeight="15" customHeight="1" x14ac:dyDescent="0.2"/>
  <cols>
    <col min="1" max="1" width="2" style="1" customWidth="1"/>
    <col min="2" max="2" width="40" style="1" customWidth="1"/>
    <col min="3" max="9" width="17" style="1" customWidth="1"/>
    <col min="10" max="16384" width="17" style="1"/>
  </cols>
  <sheetData>
    <row r="1" spans="1:8" ht="13" customHeight="1" x14ac:dyDescent="0.2">
      <c r="A1" s="41"/>
      <c r="B1" s="42"/>
      <c r="C1" s="42"/>
      <c r="D1" s="42"/>
      <c r="E1" s="42"/>
      <c r="F1" s="42"/>
      <c r="G1" s="42"/>
      <c r="H1" s="43"/>
    </row>
    <row r="2" spans="1:8" ht="30" customHeight="1" x14ac:dyDescent="0.2">
      <c r="A2" s="44"/>
      <c r="B2" s="45" t="s">
        <v>0</v>
      </c>
      <c r="C2" s="46"/>
      <c r="D2" s="46"/>
      <c r="E2" s="46"/>
      <c r="F2" s="46"/>
      <c r="G2" s="47"/>
      <c r="H2" s="48"/>
    </row>
    <row r="3" spans="1:8" ht="21" customHeight="1" x14ac:dyDescent="0.2">
      <c r="A3" s="49"/>
      <c r="B3" s="50" t="s">
        <v>31</v>
      </c>
      <c r="C3" s="51"/>
      <c r="D3" s="51"/>
      <c r="E3" s="51"/>
      <c r="F3" s="51"/>
      <c r="G3" s="52"/>
      <c r="H3" s="53"/>
    </row>
    <row r="4" spans="1:8" ht="21" customHeight="1" x14ac:dyDescent="0.2">
      <c r="A4" s="49"/>
      <c r="B4" s="54" t="s">
        <v>32</v>
      </c>
      <c r="C4" s="55"/>
      <c r="D4" s="55"/>
      <c r="E4" s="55"/>
      <c r="F4" s="55"/>
      <c r="G4" s="56"/>
      <c r="H4" s="57"/>
    </row>
    <row r="5" spans="1:8" ht="15" customHeight="1" x14ac:dyDescent="0.2">
      <c r="A5" s="49"/>
      <c r="B5" s="58"/>
      <c r="C5" s="59"/>
      <c r="D5" s="60"/>
      <c r="E5" s="58"/>
      <c r="F5" s="59"/>
      <c r="G5" s="59"/>
      <c r="H5" s="61"/>
    </row>
    <row r="6" spans="1:8" ht="19.5" customHeight="1" x14ac:dyDescent="0.2">
      <c r="A6" s="62"/>
      <c r="B6" s="63" t="s">
        <v>33</v>
      </c>
      <c r="C6" s="64"/>
      <c r="D6" s="64"/>
      <c r="E6" s="64"/>
      <c r="F6" s="64"/>
      <c r="G6" s="65"/>
      <c r="H6" s="66"/>
    </row>
    <row r="7" spans="1:8" ht="21.75" customHeight="1" x14ac:dyDescent="0.2">
      <c r="A7" s="49"/>
      <c r="B7" s="67" t="s">
        <v>6</v>
      </c>
      <c r="C7" s="52"/>
      <c r="D7" s="68" cm="1">
        <f t="array" ref="D7">'P&amp;L Tables'!I10</f>
        <v>847042500</v>
      </c>
      <c r="E7" s="69"/>
      <c r="F7" s="52"/>
      <c r="G7" s="52"/>
      <c r="H7" s="53"/>
    </row>
    <row r="8" spans="1:8" ht="21.75" customHeight="1" x14ac:dyDescent="0.2">
      <c r="A8" s="49"/>
      <c r="B8" s="70" t="s">
        <v>34</v>
      </c>
      <c r="C8" s="71"/>
      <c r="D8" s="68" cm="1">
        <f t="array" ref="D8">'P&amp;L Tables'!I21</f>
        <v>255470397.7775</v>
      </c>
      <c r="E8" s="72"/>
      <c r="F8" s="71"/>
      <c r="G8" s="52"/>
      <c r="H8" s="53"/>
    </row>
    <row r="9" spans="1:8" ht="21" customHeight="1" x14ac:dyDescent="0.2">
      <c r="A9" s="49"/>
      <c r="B9" s="70" t="s">
        <v>35</v>
      </c>
      <c r="C9" s="73"/>
      <c r="D9" s="74" cm="1">
        <f t="array" ref="D9">'Production + COGS'!G68</f>
        <v>0.35</v>
      </c>
      <c r="E9" s="72"/>
      <c r="F9" s="75"/>
      <c r="G9" s="52"/>
      <c r="H9" s="53"/>
    </row>
    <row r="10" spans="1:8" ht="21" customHeight="1" x14ac:dyDescent="0.2">
      <c r="A10" s="49"/>
      <c r="B10" s="70" t="s">
        <v>14</v>
      </c>
      <c r="C10" s="71"/>
      <c r="D10" s="29" cm="1">
        <f t="array" ref="D10">SUM('Production + COGS'!C13:H13)</f>
        <v>20310</v>
      </c>
      <c r="E10" s="72"/>
      <c r="F10" s="73"/>
      <c r="G10" s="52"/>
      <c r="H10" s="53"/>
    </row>
    <row r="11" spans="1:8" ht="21.75" customHeight="1" x14ac:dyDescent="0.2">
      <c r="A11" s="49"/>
      <c r="B11" s="70" t="s">
        <v>15</v>
      </c>
      <c r="C11" s="73"/>
      <c r="D11" s="68" cm="1">
        <f t="array" ref="D11">'P&amp;L Tables'!H24</f>
        <v>17775000</v>
      </c>
      <c r="E11" s="72"/>
      <c r="F11" s="71"/>
      <c r="G11" s="52"/>
      <c r="H11" s="53"/>
    </row>
    <row r="12" spans="1:8" ht="15" customHeight="1" x14ac:dyDescent="0.2">
      <c r="A12" s="49"/>
      <c r="B12" s="51"/>
      <c r="C12" s="51"/>
      <c r="D12" s="51"/>
      <c r="E12" s="72"/>
      <c r="F12" s="73"/>
      <c r="G12" s="52"/>
      <c r="H12" s="53"/>
    </row>
    <row r="13" spans="1:8" ht="19.5" customHeight="1" x14ac:dyDescent="0.2">
      <c r="A13" s="39"/>
      <c r="B13" s="63" t="s">
        <v>36</v>
      </c>
      <c r="C13" s="65"/>
      <c r="D13" s="65"/>
      <c r="E13" s="65"/>
      <c r="F13" s="65"/>
      <c r="G13" s="65"/>
      <c r="H13" s="66"/>
    </row>
    <row r="14" spans="1:8" ht="15" customHeight="1" x14ac:dyDescent="0.2">
      <c r="A14" s="76"/>
      <c r="B14" s="77" t="s">
        <v>37</v>
      </c>
      <c r="C14" s="78" t="s">
        <v>38</v>
      </c>
      <c r="D14" s="78" t="s">
        <v>39</v>
      </c>
      <c r="E14" s="78" t="s">
        <v>40</v>
      </c>
      <c r="F14" s="78" t="s">
        <v>41</v>
      </c>
      <c r="G14" s="78" t="s">
        <v>42</v>
      </c>
      <c r="H14" s="79" t="s">
        <v>43</v>
      </c>
    </row>
    <row r="15" spans="1:8" ht="15" customHeight="1" x14ac:dyDescent="0.2">
      <c r="A15" s="76"/>
      <c r="B15" s="80" t="s">
        <v>44</v>
      </c>
      <c r="C15" s="81" cm="1">
        <f t="array" ref="C15">'P&amp;L Tables'!C10</f>
        <v>1222500</v>
      </c>
      <c r="D15" s="81" cm="1">
        <f t="array" ref="D15">'P&amp;L Tables'!D10</f>
        <v>13075000</v>
      </c>
      <c r="E15" s="81" cm="1">
        <f t="array" ref="E15">'P&amp;L Tables'!E10</f>
        <v>49057500</v>
      </c>
      <c r="F15" s="81" cm="1">
        <f t="array" ref="F15">'P&amp;L Tables'!F10</f>
        <v>149455000</v>
      </c>
      <c r="G15" s="81" cm="1">
        <f t="array" ref="G15">'P&amp;L Tables'!G10</f>
        <v>256455000</v>
      </c>
      <c r="H15" s="82" cm="1">
        <f t="array" ref="H15">'P&amp;L Tables'!H10</f>
        <v>377777500</v>
      </c>
    </row>
    <row r="16" spans="1:8" ht="15" customHeight="1" x14ac:dyDescent="0.2">
      <c r="A16" s="76"/>
      <c r="B16" s="67" t="s">
        <v>45</v>
      </c>
      <c r="C16" s="83" cm="1">
        <f t="array" ref="C16">'P&amp;L Tables'!C21</f>
        <v>-1937864.9475</v>
      </c>
      <c r="D16" s="83" cm="1">
        <f t="array" ref="D16">'P&amp;L Tables'!D21</f>
        <v>-69055.275000000373</v>
      </c>
      <c r="E16" s="83" cm="1">
        <f t="array" ref="E16">'P&amp;L Tables'!E21</f>
        <v>10102010.25</v>
      </c>
      <c r="F16" s="83" cm="1">
        <f t="array" ref="F16">'P&amp;L Tables'!F21</f>
        <v>42395194.25</v>
      </c>
      <c r="G16" s="83" cm="1">
        <f t="array" ref="G16">'P&amp;L Tables'!G21</f>
        <v>82011519.25</v>
      </c>
      <c r="H16" s="84" cm="1">
        <f t="array" ref="H16">'P&amp;L Tables'!H21</f>
        <v>122968594.25</v>
      </c>
    </row>
    <row r="17" spans="1:8" ht="15" customHeight="1" x14ac:dyDescent="0.2">
      <c r="A17" s="76"/>
      <c r="B17" s="67" t="s">
        <v>10</v>
      </c>
      <c r="C17" s="85" cm="1">
        <f t="array" ref="C17">'P&amp;L Tables'!C15</f>
        <v>-0.16628952760736196</v>
      </c>
      <c r="D17" s="85" cm="1">
        <f t="array" ref="D17">'P&amp;L Tables'!D15</f>
        <v>0.19442118355640534</v>
      </c>
      <c r="E17" s="85" cm="1">
        <f t="array" ref="E17">'P&amp;L Tables'!E15</f>
        <v>0.27175405391632268</v>
      </c>
      <c r="F17" s="85" cm="1">
        <f t="array" ref="F17">'P&amp;L Tables'!F15</f>
        <v>0.31614365528085375</v>
      </c>
      <c r="G17" s="85" cm="1">
        <f t="array" ref="G17">'P&amp;L Tables'!G15</f>
        <v>0.34537930631104874</v>
      </c>
      <c r="H17" s="86" cm="1">
        <f t="array" ref="H17">'P&amp;L Tables'!H15</f>
        <v>0.3479518367292917</v>
      </c>
    </row>
    <row r="18" spans="1:8" ht="15" customHeight="1" x14ac:dyDescent="0.2">
      <c r="A18" s="76"/>
      <c r="B18" s="87" t="s">
        <v>46</v>
      </c>
      <c r="C18" s="88" cm="1">
        <f t="array" ref="C18">'P&amp;L Tables'!C28</f>
        <v>-3127864.9474999998</v>
      </c>
      <c r="D18" s="88" cm="1">
        <f t="array" ref="D18">'P&amp;L Tables'!D28</f>
        <v>-2509055.2750000004</v>
      </c>
      <c r="E18" s="88" cm="1">
        <f t="array" ref="E18">'P&amp;L Tables'!E28</f>
        <v>8892010.25</v>
      </c>
      <c r="F18" s="88" cm="1">
        <f t="array" ref="F18">'P&amp;L Tables'!F28</f>
        <v>41645194.25</v>
      </c>
      <c r="G18" s="88" cm="1">
        <f t="array" ref="G18">'P&amp;L Tables'!G28</f>
        <v>81511519.25</v>
      </c>
      <c r="H18" s="89" cm="1">
        <f t="array" ref="H18">'P&amp;L Tables'!H28</f>
        <v>122968594.25</v>
      </c>
    </row>
    <row r="19" spans="1:8" ht="15" customHeight="1" x14ac:dyDescent="0.2">
      <c r="A19" s="49"/>
      <c r="B19" s="90"/>
      <c r="C19" s="91"/>
      <c r="D19" s="92"/>
      <c r="E19" s="93"/>
      <c r="F19" s="91"/>
      <c r="G19" s="94"/>
      <c r="H19" s="95"/>
    </row>
    <row r="20" spans="1:8" ht="19.5" customHeight="1" x14ac:dyDescent="0.2">
      <c r="A20" s="62"/>
      <c r="B20" s="63" t="s">
        <v>47</v>
      </c>
      <c r="C20" s="65"/>
      <c r="D20" s="64"/>
      <c r="E20" s="64"/>
      <c r="F20" s="64"/>
      <c r="G20" s="65"/>
      <c r="H20" s="66"/>
    </row>
    <row r="21" spans="1:8" ht="21" customHeight="1" x14ac:dyDescent="0.2">
      <c r="A21" s="49"/>
      <c r="B21" s="70" t="s">
        <v>48</v>
      </c>
      <c r="C21" s="71"/>
      <c r="D21" s="96" cm="1">
        <f t="array" ref="D21">'CapEx Detail'!K15</f>
        <v>6090000</v>
      </c>
      <c r="E21" s="69"/>
      <c r="F21" s="52"/>
      <c r="G21" s="52"/>
      <c r="H21" s="53"/>
    </row>
    <row r="22" spans="1:8" ht="21" customHeight="1" x14ac:dyDescent="0.2">
      <c r="A22" s="49"/>
      <c r="B22" s="70" t="s">
        <v>49</v>
      </c>
      <c r="C22" s="71"/>
      <c r="D22" s="96" cm="1">
        <f t="array" ref="D22">'Master Dials'!C9</f>
        <v>1500000</v>
      </c>
      <c r="E22" s="72"/>
      <c r="F22" s="71"/>
      <c r="G22" s="52"/>
      <c r="H22" s="53"/>
    </row>
    <row r="23" spans="1:8" ht="21" customHeight="1" x14ac:dyDescent="0.2">
      <c r="A23" s="49"/>
      <c r="B23" s="67" t="s">
        <v>50</v>
      </c>
      <c r="C23" s="52"/>
      <c r="D23" s="97" t="s">
        <v>51</v>
      </c>
      <c r="E23" s="72"/>
      <c r="F23" s="71"/>
      <c r="G23" s="52"/>
      <c r="H23" s="53"/>
    </row>
    <row r="24" spans="1:8" ht="15" customHeight="1" x14ac:dyDescent="0.2">
      <c r="A24" s="49"/>
      <c r="B24" s="98"/>
      <c r="C24" s="99"/>
      <c r="D24" s="51"/>
      <c r="E24" s="51"/>
      <c r="F24" s="51"/>
      <c r="G24" s="52"/>
      <c r="H24" s="53"/>
    </row>
    <row r="25" spans="1:8" ht="19.5" customHeight="1" x14ac:dyDescent="0.2">
      <c r="A25" s="62"/>
      <c r="B25" s="63" t="s">
        <v>52</v>
      </c>
      <c r="C25" s="100"/>
      <c r="D25" s="64"/>
      <c r="E25" s="101"/>
      <c r="F25" s="100"/>
      <c r="G25" s="65"/>
      <c r="H25" s="66"/>
    </row>
    <row r="26" spans="1:8" ht="30" customHeight="1" x14ac:dyDescent="0.2">
      <c r="A26" s="49"/>
      <c r="B26" s="272" t="s">
        <v>53</v>
      </c>
      <c r="C26" s="272"/>
      <c r="D26" s="272"/>
      <c r="E26" s="272"/>
      <c r="F26" s="272"/>
      <c r="G26" s="272"/>
      <c r="H26" s="273"/>
    </row>
    <row r="27" spans="1:8" ht="15" customHeight="1" x14ac:dyDescent="0.2">
      <c r="A27" s="49"/>
      <c r="B27" s="102"/>
      <c r="C27" s="51"/>
      <c r="D27" s="103"/>
      <c r="E27" s="72"/>
      <c r="F27" s="99"/>
      <c r="G27" s="52"/>
      <c r="H27" s="53"/>
    </row>
    <row r="28" spans="1:8" ht="19.5" customHeight="1" x14ac:dyDescent="0.2">
      <c r="A28" s="62"/>
      <c r="B28" s="63" t="s">
        <v>54</v>
      </c>
      <c r="C28" s="104"/>
      <c r="D28" s="64"/>
      <c r="E28" s="101"/>
      <c r="F28" s="105"/>
      <c r="G28" s="65"/>
      <c r="H28" s="66"/>
    </row>
    <row r="29" spans="1:8" ht="27.75" customHeight="1" x14ac:dyDescent="0.2">
      <c r="A29" s="49"/>
      <c r="B29" s="106" t="s">
        <v>55</v>
      </c>
      <c r="C29" s="73"/>
      <c r="D29" s="274" t="s">
        <v>56</v>
      </c>
      <c r="E29" s="274"/>
      <c r="F29" s="274"/>
      <c r="G29" s="274"/>
      <c r="H29" s="275"/>
    </row>
    <row r="30" spans="1:8" ht="21" customHeight="1" x14ac:dyDescent="0.2">
      <c r="A30" s="49"/>
      <c r="B30" s="70" t="s">
        <v>57</v>
      </c>
      <c r="C30" s="73"/>
      <c r="D30" s="107" cm="1">
        <f t="array" ref="D30">'P&amp;L Tables'!H24</f>
        <v>17775000</v>
      </c>
      <c r="E30" s="72"/>
      <c r="F30" s="75"/>
      <c r="G30" s="52"/>
      <c r="H30" s="53"/>
    </row>
    <row r="31" spans="1:8" ht="15" customHeight="1" x14ac:dyDescent="0.2">
      <c r="A31" s="49"/>
      <c r="B31" s="108"/>
      <c r="C31" s="10"/>
      <c r="D31" s="10"/>
      <c r="E31" s="10"/>
      <c r="F31" s="10"/>
      <c r="G31" s="10"/>
      <c r="H31" s="11"/>
    </row>
    <row r="32" spans="1:8" ht="19.5" customHeight="1" x14ac:dyDescent="0.2">
      <c r="A32" s="62"/>
      <c r="B32" s="63" t="s">
        <v>58</v>
      </c>
      <c r="C32" s="64"/>
      <c r="D32" s="64"/>
      <c r="E32" s="101"/>
      <c r="F32" s="65"/>
      <c r="G32" s="65"/>
      <c r="H32" s="66"/>
    </row>
    <row r="33" spans="1:8" ht="21" customHeight="1" x14ac:dyDescent="0.2">
      <c r="A33" s="49"/>
      <c r="B33" s="67" t="s">
        <v>59</v>
      </c>
      <c r="C33" s="51"/>
      <c r="D33" s="109" cm="1">
        <f t="array" ref="D33">'Team Roster'!L57</f>
        <v>206</v>
      </c>
      <c r="E33" s="72"/>
      <c r="F33" s="71"/>
      <c r="G33" s="52"/>
      <c r="H33" s="53"/>
    </row>
    <row r="34" spans="1:8" ht="21" customHeight="1" x14ac:dyDescent="0.2">
      <c r="A34" s="49"/>
      <c r="B34" s="67" t="s">
        <v>60</v>
      </c>
      <c r="C34" s="51"/>
      <c r="D34" s="109" cm="1">
        <f t="array" ref="D34">'Team Roster'!L37</f>
        <v>90</v>
      </c>
      <c r="E34" s="72"/>
      <c r="F34" s="99"/>
      <c r="G34" s="52"/>
      <c r="H34" s="53"/>
    </row>
    <row r="35" spans="1:8" ht="15" customHeight="1" x14ac:dyDescent="0.2">
      <c r="A35" s="76"/>
      <c r="B35" s="110"/>
      <c r="C35" s="111"/>
      <c r="D35" s="111"/>
      <c r="E35" s="111"/>
      <c r="F35" s="111"/>
      <c r="G35" s="111"/>
      <c r="H35" s="112"/>
    </row>
    <row r="36" spans="1:8" ht="19.5" customHeight="1" x14ac:dyDescent="0.2">
      <c r="A36" s="62"/>
      <c r="B36" s="63" t="s">
        <v>61</v>
      </c>
      <c r="C36" s="64"/>
      <c r="D36" s="64"/>
      <c r="E36" s="101"/>
      <c r="F36" s="100"/>
      <c r="G36" s="65"/>
      <c r="H36" s="66"/>
    </row>
    <row r="37" spans="1:8" ht="21" customHeight="1" x14ac:dyDescent="0.2">
      <c r="A37" s="49"/>
      <c r="B37" s="276" t="s">
        <v>62</v>
      </c>
      <c r="C37" s="276"/>
      <c r="D37" s="276"/>
      <c r="E37" s="276"/>
      <c r="F37" s="276"/>
      <c r="G37" s="276"/>
      <c r="H37" s="277"/>
    </row>
    <row r="38" spans="1:8" ht="21" customHeight="1" x14ac:dyDescent="0.2">
      <c r="A38" s="49"/>
      <c r="B38" s="276" t="s">
        <v>63</v>
      </c>
      <c r="C38" s="276"/>
      <c r="D38" s="276"/>
      <c r="E38" s="276"/>
      <c r="F38" s="276"/>
      <c r="G38" s="276"/>
      <c r="H38" s="277"/>
    </row>
    <row r="39" spans="1:8" ht="21" customHeight="1" x14ac:dyDescent="0.2">
      <c r="A39" s="113"/>
      <c r="B39" s="278" t="s">
        <v>64</v>
      </c>
      <c r="C39" s="278"/>
      <c r="D39" s="278"/>
      <c r="E39" s="278"/>
      <c r="F39" s="278"/>
      <c r="G39" s="278"/>
      <c r="H39" s="279"/>
    </row>
  </sheetData>
  <mergeCells count="5">
    <mergeCell ref="B26:H26"/>
    <mergeCell ref="D29:H29"/>
    <mergeCell ref="B37:H37"/>
    <mergeCell ref="B38:H38"/>
    <mergeCell ref="B39:H39"/>
  </mergeCells>
  <pageMargins left="0.4" right="0.4" top="0.5" bottom="0.5" header="0.51181100000000002" footer="0.51180599999999998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showGridLines="0" workbookViewId="0"/>
  </sheetViews>
  <sheetFormatPr baseColWidth="10" defaultColWidth="8.6640625" defaultRowHeight="15" customHeight="1" x14ac:dyDescent="0.2"/>
  <cols>
    <col min="1" max="1" width="1.6640625" style="1" customWidth="1"/>
    <col min="2" max="2" width="58.6640625" style="1" customWidth="1"/>
    <col min="3" max="9" width="15.5" style="1" customWidth="1"/>
    <col min="10" max="10" width="8.6640625" style="1" customWidth="1"/>
    <col min="11" max="16384" width="8.6640625" style="1"/>
  </cols>
  <sheetData>
    <row r="1" spans="1:9" ht="13.5" customHeight="1" x14ac:dyDescent="0.2">
      <c r="A1" s="114"/>
      <c r="B1" s="5"/>
      <c r="C1" s="5"/>
      <c r="D1" s="5"/>
      <c r="E1" s="5"/>
      <c r="F1" s="5"/>
      <c r="G1" s="5"/>
      <c r="H1" s="5"/>
      <c r="I1" s="25"/>
    </row>
    <row r="2" spans="1:9" ht="21" customHeight="1" x14ac:dyDescent="0.2">
      <c r="A2" s="115"/>
      <c r="B2" s="116" t="s">
        <v>65</v>
      </c>
      <c r="C2" s="117"/>
      <c r="D2" s="117"/>
      <c r="E2" s="117"/>
      <c r="F2" s="117"/>
      <c r="G2" s="117"/>
      <c r="H2" s="117"/>
      <c r="I2" s="118"/>
    </row>
    <row r="3" spans="1:9" ht="21" customHeight="1" x14ac:dyDescent="0.2">
      <c r="A3" s="119"/>
      <c r="B3" s="120" t="s">
        <v>66</v>
      </c>
      <c r="C3" s="121"/>
      <c r="D3" s="121"/>
      <c r="E3" s="121"/>
      <c r="F3" s="121"/>
      <c r="G3" s="121"/>
      <c r="H3" s="121"/>
      <c r="I3" s="121"/>
    </row>
    <row r="4" spans="1:9" ht="21.25" customHeight="1" x14ac:dyDescent="0.2">
      <c r="A4" s="280" t="s">
        <v>67</v>
      </c>
      <c r="B4" s="281"/>
      <c r="C4" s="122"/>
      <c r="D4" s="122"/>
      <c r="E4" s="122"/>
      <c r="F4" s="122"/>
      <c r="G4" s="122"/>
      <c r="H4" s="122"/>
      <c r="I4" s="123"/>
    </row>
    <row r="5" spans="1:9" ht="15" customHeight="1" x14ac:dyDescent="0.2">
      <c r="A5" s="119"/>
      <c r="B5" s="124"/>
      <c r="C5" s="52"/>
      <c r="D5" s="52"/>
      <c r="E5" s="52"/>
      <c r="F5" s="52"/>
      <c r="G5" s="52"/>
      <c r="H5" s="52"/>
      <c r="I5" s="125"/>
    </row>
    <row r="6" spans="1:9" ht="15" customHeight="1" x14ac:dyDescent="0.2">
      <c r="A6" s="119"/>
      <c r="B6" s="126" t="s">
        <v>68</v>
      </c>
      <c r="C6" s="127" t="s">
        <v>38</v>
      </c>
      <c r="D6" s="127" t="s">
        <v>39</v>
      </c>
      <c r="E6" s="127" t="s">
        <v>40</v>
      </c>
      <c r="F6" s="127" t="s">
        <v>41</v>
      </c>
      <c r="G6" s="127" t="s">
        <v>42</v>
      </c>
      <c r="H6" s="127" t="s">
        <v>43</v>
      </c>
      <c r="I6" s="128" t="s">
        <v>69</v>
      </c>
    </row>
    <row r="7" spans="1:9" ht="15" customHeight="1" x14ac:dyDescent="0.2">
      <c r="A7" s="119"/>
      <c r="B7" s="129" t="s">
        <v>14</v>
      </c>
      <c r="C7" s="130" cm="1">
        <f t="array" ref="C7">'Production + COGS'!C62</f>
        <v>50</v>
      </c>
      <c r="D7" s="130" cm="1">
        <f t="array" ref="D7">'Production + COGS'!D62</f>
        <v>510</v>
      </c>
      <c r="E7" s="130" cm="1">
        <f t="array" ref="E7">'Production + COGS'!E62</f>
        <v>1700</v>
      </c>
      <c r="F7" s="130" cm="1">
        <f t="array" ref="F7">'Production + COGS'!F62</f>
        <v>4000</v>
      </c>
      <c r="G7" s="130" cm="1">
        <f t="array" ref="G7">'Production + COGS'!G62</f>
        <v>6000</v>
      </c>
      <c r="H7" s="130" cm="1">
        <f t="array" ref="H7">'Production + COGS'!H62</f>
        <v>8050</v>
      </c>
      <c r="I7" s="131" cm="1">
        <f t="array" ref="I7">SUM(C7:H7)</f>
        <v>20310</v>
      </c>
    </row>
    <row r="8" spans="1:9" ht="15" customHeight="1" x14ac:dyDescent="0.2">
      <c r="A8" s="119"/>
      <c r="B8" s="129" t="s">
        <v>70</v>
      </c>
      <c r="C8" s="132" cm="1">
        <f t="array" ref="C8">'Production + COGS'!C51</f>
        <v>1222500</v>
      </c>
      <c r="D8" s="132" cm="1">
        <f t="array" ref="D8">'Production + COGS'!D51</f>
        <v>13075000</v>
      </c>
      <c r="E8" s="132" cm="1">
        <f t="array" ref="E8">'Production + COGS'!E51</f>
        <v>48675000</v>
      </c>
      <c r="F8" s="132" cm="1">
        <f t="array" ref="F8">'Production + COGS'!F51</f>
        <v>146125000</v>
      </c>
      <c r="G8" s="132" cm="1">
        <f t="array" ref="G8">'Production + COGS'!G51</f>
        <v>248625000</v>
      </c>
      <c r="H8" s="132" cm="1">
        <f t="array" ref="H8">'Production + COGS'!H51</f>
        <v>363625000</v>
      </c>
      <c r="I8" s="133" cm="1">
        <f t="array" ref="I8">SUM(C8:H8)</f>
        <v>821347500</v>
      </c>
    </row>
    <row r="9" spans="1:9" ht="15" customHeight="1" x14ac:dyDescent="0.2">
      <c r="A9" s="119"/>
      <c r="B9" s="129" t="s">
        <v>71</v>
      </c>
      <c r="C9" s="132" cm="1">
        <f t="array" ref="C9">'Production + COGS'!C77</f>
        <v>0</v>
      </c>
      <c r="D9" s="132" cm="1">
        <f t="array" ref="D9">'Production + COGS'!D77</f>
        <v>0</v>
      </c>
      <c r="E9" s="132" cm="1">
        <f t="array" ref="E9">'Production + COGS'!E77</f>
        <v>382500</v>
      </c>
      <c r="F9" s="132" cm="1">
        <f t="array" ref="F9">'Production + COGS'!F77</f>
        <v>3330000</v>
      </c>
      <c r="G9" s="132" cm="1">
        <f t="array" ref="G9">'Production + COGS'!G77</f>
        <v>7830000</v>
      </c>
      <c r="H9" s="132" cm="1">
        <f t="array" ref="H9">'Production + COGS'!H77</f>
        <v>14152500</v>
      </c>
      <c r="I9" s="133" cm="1">
        <f t="array" ref="I9">SUM(C9:H9)</f>
        <v>25695000</v>
      </c>
    </row>
    <row r="10" spans="1:9" ht="15" customHeight="1" x14ac:dyDescent="0.2">
      <c r="A10" s="119"/>
      <c r="B10" s="126" t="s">
        <v>72</v>
      </c>
      <c r="C10" s="134" cm="1">
        <f t="array" ref="C10">C8+C9</f>
        <v>1222500</v>
      </c>
      <c r="D10" s="134" cm="1">
        <f t="array" ref="D10">D8+D9</f>
        <v>13075000</v>
      </c>
      <c r="E10" s="134" cm="1">
        <f t="array" ref="E10">E8+E9</f>
        <v>49057500</v>
      </c>
      <c r="F10" s="134" cm="1">
        <f t="array" ref="F10">F8+F9</f>
        <v>149455000</v>
      </c>
      <c r="G10" s="134" cm="1">
        <f t="array" ref="G10">G8+G9</f>
        <v>256455000</v>
      </c>
      <c r="H10" s="134" cm="1">
        <f t="array" ref="H10">H8+H9</f>
        <v>377777500</v>
      </c>
      <c r="I10" s="135" cm="1">
        <f t="array" ref="I10">SUM(C10:H10)</f>
        <v>847042500</v>
      </c>
    </row>
    <row r="11" spans="1:9" ht="15" customHeight="1" x14ac:dyDescent="0.2">
      <c r="A11" s="119"/>
      <c r="B11" s="129" t="s">
        <v>73</v>
      </c>
      <c r="C11" s="132" cm="1">
        <f t="array" ref="C11">-'Production + COGS'!C58</f>
        <v>-1065788.9475</v>
      </c>
      <c r="D11" s="132" cm="1">
        <f t="array" ref="D11">-'Production + COGS'!D58</f>
        <v>-9992943.0250000004</v>
      </c>
      <c r="E11" s="132" cm="1">
        <f t="array" ref="E11">-'Production + COGS'!E58</f>
        <v>-34228550.5</v>
      </c>
      <c r="F11" s="132" cm="1">
        <f t="array" ref="F11">-'Production + COGS'!F58</f>
        <v>-98331250</v>
      </c>
      <c r="G11" s="132" cm="1">
        <f t="array" ref="G11">-'Production + COGS'!G58</f>
        <v>-161606250</v>
      </c>
      <c r="H11" s="132" cm="1">
        <f t="array" ref="H11">-'Production + COGS'!H58</f>
        <v>-237456250</v>
      </c>
      <c r="I11" s="133" cm="1">
        <f t="array" ref="I11">SUM(C11:H11)</f>
        <v>-542681032.47249997</v>
      </c>
    </row>
    <row r="12" spans="1:9" ht="15" customHeight="1" x14ac:dyDescent="0.2">
      <c r="A12" s="119"/>
      <c r="B12" s="129" t="s">
        <v>74</v>
      </c>
      <c r="C12" s="132" cm="1">
        <f t="array" ref="C12">-'Production + COGS'!C78</f>
        <v>0</v>
      </c>
      <c r="D12" s="132" cm="1">
        <f t="array" ref="D12">-'Production + COGS'!D78</f>
        <v>0</v>
      </c>
      <c r="E12" s="132" cm="1">
        <f t="array" ref="E12">-'Production + COGS'!E78</f>
        <v>-57375</v>
      </c>
      <c r="F12" s="132" cm="1">
        <f t="array" ref="F12">-'Production + COGS'!F78</f>
        <v>-499500</v>
      </c>
      <c r="G12" s="132" cm="1">
        <f t="array" ref="G12">-'Production + COGS'!G78</f>
        <v>-1174500</v>
      </c>
      <c r="H12" s="132" cm="1">
        <f t="array" ref="H12">-'Production + COGS'!H78</f>
        <v>-2122875</v>
      </c>
      <c r="I12" s="133" cm="1">
        <f t="array" ref="I12">SUM(C12:H12)</f>
        <v>-3854250</v>
      </c>
    </row>
    <row r="13" spans="1:9" ht="15" customHeight="1" x14ac:dyDescent="0.2">
      <c r="A13" s="119"/>
      <c r="B13" s="129" t="s">
        <v>75</v>
      </c>
      <c r="C13" s="132" cm="1">
        <f t="array" ref="C13">-'Team Roster'!G38</f>
        <v>-360000</v>
      </c>
      <c r="D13" s="132" cm="1">
        <f t="array" ref="D13">-'Team Roster'!H38</f>
        <v>-540000</v>
      </c>
      <c r="E13" s="132" cm="1">
        <f t="array" ref="E13">-'Team Roster'!I38</f>
        <v>-1440000</v>
      </c>
      <c r="F13" s="132" cm="1">
        <f t="array" ref="F13">-'Team Roster'!J38</f>
        <v>-3375000</v>
      </c>
      <c r="G13" s="132" cm="1">
        <f t="array" ref="G13">-'Team Roster'!K38</f>
        <v>-5100000</v>
      </c>
      <c r="H13" s="132" cm="1">
        <f t="array" ref="H13">-'Team Roster'!L38</f>
        <v>-6750000</v>
      </c>
      <c r="I13" s="133" cm="1">
        <f t="array" ref="I13">SUM(C13:H13)</f>
        <v>-17565000</v>
      </c>
    </row>
    <row r="14" spans="1:9" ht="15" customHeight="1" x14ac:dyDescent="0.2">
      <c r="A14" s="119"/>
      <c r="B14" s="126" t="s">
        <v>76</v>
      </c>
      <c r="C14" s="134" cm="1">
        <f t="array" ref="C14">C10+C11+C12+C13</f>
        <v>-203288.94750000001</v>
      </c>
      <c r="D14" s="134" cm="1">
        <f t="array" ref="D14">D10+D11+D12+D13</f>
        <v>2542056.9749999996</v>
      </c>
      <c r="E14" s="134" cm="1">
        <f t="array" ref="E14">E10+E11+E12+E13</f>
        <v>13331574.5</v>
      </c>
      <c r="F14" s="134" cm="1">
        <f t="array" ref="F14">F10+F11+F12+F13</f>
        <v>47249250</v>
      </c>
      <c r="G14" s="134" cm="1">
        <f t="array" ref="G14">G10+G11+G12+G13</f>
        <v>88574250</v>
      </c>
      <c r="H14" s="134" cm="1">
        <f t="array" ref="H14">H10+H11+H12+H13</f>
        <v>131448375</v>
      </c>
      <c r="I14" s="135" cm="1">
        <f t="array" ref="I14">SUM(C14:H14)</f>
        <v>282942217.52750003</v>
      </c>
    </row>
    <row r="15" spans="1:9" ht="15" customHeight="1" x14ac:dyDescent="0.2">
      <c r="A15" s="119"/>
      <c r="B15" s="129" t="s">
        <v>77</v>
      </c>
      <c r="C15" s="136" cm="1">
        <f t="array" ref="C15">IFERROR(C14/C10,0)</f>
        <v>-0.16628952760736196</v>
      </c>
      <c r="D15" s="136" cm="1">
        <f t="array" ref="D15">IFERROR(D14/D10,0)</f>
        <v>0.19442118355640534</v>
      </c>
      <c r="E15" s="136" cm="1">
        <f t="array" ref="E15">IFERROR(E14/E10,0)</f>
        <v>0.27175405391632268</v>
      </c>
      <c r="F15" s="136" cm="1">
        <f t="array" ref="F15">IFERROR(F14/F10,0)</f>
        <v>0.31614365528085375</v>
      </c>
      <c r="G15" s="136" cm="1">
        <f t="array" ref="G15">IFERROR(G14/G10,0)</f>
        <v>0.34537930631104874</v>
      </c>
      <c r="H15" s="136" cm="1">
        <f t="array" ref="H15">IFERROR(H14/H10,0)</f>
        <v>0.3479518367292917</v>
      </c>
      <c r="I15" s="125"/>
    </row>
    <row r="16" spans="1:9" ht="15" customHeight="1" x14ac:dyDescent="0.2">
      <c r="A16" s="119"/>
      <c r="B16" s="76"/>
      <c r="C16" s="52"/>
      <c r="D16" s="52"/>
      <c r="E16" s="52"/>
      <c r="F16" s="52"/>
      <c r="G16" s="52"/>
      <c r="H16" s="52"/>
      <c r="I16" s="125"/>
    </row>
    <row r="17" spans="1:9" ht="15" customHeight="1" x14ac:dyDescent="0.2">
      <c r="A17" s="119"/>
      <c r="B17" s="129" t="s">
        <v>78</v>
      </c>
      <c r="C17" s="132" cm="1">
        <f t="array" ref="C17">-'Team Roster'!G32*'Master Dials'!$C$7</f>
        <v>-1119500</v>
      </c>
      <c r="D17" s="132" cm="1">
        <f t="array" ref="D17">-'Team Roster'!H32*'Master Dials'!$C$7</f>
        <v>-1725000</v>
      </c>
      <c r="E17" s="132" cm="1">
        <f t="array" ref="E17">-'Team Roster'!I32*'Master Dials'!$C$7</f>
        <v>-1750000</v>
      </c>
      <c r="F17" s="132" cm="1">
        <f t="array" ref="F17">-'Team Roster'!J32*'Master Dials'!$C$7</f>
        <v>-1750000</v>
      </c>
      <c r="G17" s="132" cm="1">
        <f t="array" ref="G17">-'Team Roster'!K32*'Master Dials'!$C$7</f>
        <v>-1750000</v>
      </c>
      <c r="H17" s="132" cm="1">
        <f t="array" ref="H17">-'Team Roster'!L32*'Master Dials'!$C$7</f>
        <v>-1750000</v>
      </c>
      <c r="I17" s="133" cm="1">
        <f t="array" ref="I17">SUM(C17:H17)</f>
        <v>-9844500</v>
      </c>
    </row>
    <row r="18" spans="1:9" ht="15" customHeight="1" x14ac:dyDescent="0.2">
      <c r="A18" s="119"/>
      <c r="B18" s="129" t="s">
        <v>79</v>
      </c>
      <c r="C18" s="132" cm="1">
        <f t="array" ref="C18">-'Team Roster'!G46*'Master Dials'!$C$7</f>
        <v>-615076</v>
      </c>
      <c r="D18" s="132" cm="1">
        <f t="array" ref="D18">-'Team Roster'!H46*'Master Dials'!$C$7</f>
        <v>-886112.25</v>
      </c>
      <c r="E18" s="132" cm="1">
        <f t="array" ref="E18">-'Team Roster'!I46*'Master Dials'!$C$7</f>
        <v>-1479564.25</v>
      </c>
      <c r="F18" s="132" cm="1">
        <f t="array" ref="F18">-'Team Roster'!J46*'Master Dials'!$C$7</f>
        <v>-3104055.7500000005</v>
      </c>
      <c r="G18" s="132" cm="1">
        <f t="array" ref="G18">-'Team Roster'!K46*'Master Dials'!$C$7</f>
        <v>-4812730.75</v>
      </c>
      <c r="H18" s="132" cm="1">
        <f t="array" ref="H18">-'Team Roster'!L46*'Master Dials'!$C$7</f>
        <v>-6729780.7500000009</v>
      </c>
      <c r="I18" s="133" cm="1">
        <f t="array" ref="I18">SUM(C18:H18)</f>
        <v>-17627319.75</v>
      </c>
    </row>
    <row r="19" spans="1:9" ht="15" customHeight="1" x14ac:dyDescent="0.2">
      <c r="A19" s="119"/>
      <c r="B19" s="126" t="s">
        <v>80</v>
      </c>
      <c r="C19" s="134" cm="1">
        <f t="array" ref="C19">C17+C18</f>
        <v>-1734576</v>
      </c>
      <c r="D19" s="134" cm="1">
        <f t="array" ref="D19">D17+D18</f>
        <v>-2611112.25</v>
      </c>
      <c r="E19" s="134" cm="1">
        <f t="array" ref="E19">E17+E18</f>
        <v>-3229564.25</v>
      </c>
      <c r="F19" s="134" cm="1">
        <f t="array" ref="F19">F17+F18</f>
        <v>-4854055.75</v>
      </c>
      <c r="G19" s="134" cm="1">
        <f t="array" ref="G19">G17+G18</f>
        <v>-6562730.75</v>
      </c>
      <c r="H19" s="134" cm="1">
        <f t="array" ref="H19">H17+H18</f>
        <v>-8479780.75</v>
      </c>
      <c r="I19" s="135" cm="1">
        <f t="array" ref="I19">SUM(C19:H19)</f>
        <v>-27471819.75</v>
      </c>
    </row>
    <row r="20" spans="1:9" ht="15" customHeight="1" x14ac:dyDescent="0.2">
      <c r="A20" s="119"/>
      <c r="B20" s="76"/>
      <c r="C20" s="52"/>
      <c r="D20" s="52"/>
      <c r="E20" s="52"/>
      <c r="F20" s="52"/>
      <c r="G20" s="52"/>
      <c r="H20" s="52"/>
      <c r="I20" s="125"/>
    </row>
    <row r="21" spans="1:9" ht="15" customHeight="1" x14ac:dyDescent="0.2">
      <c r="A21" s="119"/>
      <c r="B21" s="137" t="s">
        <v>81</v>
      </c>
      <c r="C21" s="138" cm="1">
        <f t="array" ref="C21">C14+C19</f>
        <v>-1937864.9475</v>
      </c>
      <c r="D21" s="138" cm="1">
        <f t="array" ref="D21">D14+D19</f>
        <v>-69055.275000000373</v>
      </c>
      <c r="E21" s="138" cm="1">
        <f t="array" ref="E21">E14+E19</f>
        <v>10102010.25</v>
      </c>
      <c r="F21" s="138" cm="1">
        <f t="array" ref="F21">F14+F19</f>
        <v>42395194.25</v>
      </c>
      <c r="G21" s="138" cm="1">
        <f t="array" ref="G21">G14+G19</f>
        <v>82011519.25</v>
      </c>
      <c r="H21" s="138" cm="1">
        <f t="array" ref="H21">H14+H19</f>
        <v>122968594.25</v>
      </c>
      <c r="I21" s="139" cm="1">
        <f t="array" ref="I21">SUM(C21:H21)</f>
        <v>255470397.7775</v>
      </c>
    </row>
    <row r="22" spans="1:9" ht="15" customHeight="1" x14ac:dyDescent="0.2">
      <c r="A22" s="119"/>
      <c r="B22" s="129" t="s">
        <v>82</v>
      </c>
      <c r="C22" s="136" cm="1">
        <f t="array" ref="C22">IFERROR(C21/C10,0)</f>
        <v>-1.5851656012269939</v>
      </c>
      <c r="D22" s="136" cm="1">
        <f t="array" ref="D22">IFERROR(D21/D10,0)</f>
        <v>-5.2814741873805256E-3</v>
      </c>
      <c r="E22" s="136" cm="1">
        <f t="array" ref="E22">IFERROR(E21/E10,0)</f>
        <v>0.20592183152423177</v>
      </c>
      <c r="F22" s="136" cm="1">
        <f t="array" ref="F22">IFERROR(F21/F10,0)</f>
        <v>0.28366527884647552</v>
      </c>
      <c r="G22" s="136" cm="1">
        <f t="array" ref="G22">IFERROR(G21/G10,0)</f>
        <v>0.31978912187323311</v>
      </c>
      <c r="H22" s="136" cm="1">
        <f t="array" ref="H22">IFERROR(H21/H10,0)</f>
        <v>0.32550534176863366</v>
      </c>
      <c r="I22" s="125"/>
    </row>
    <row r="23" spans="1:9" ht="15" customHeight="1" x14ac:dyDescent="0.2">
      <c r="A23" s="119"/>
      <c r="B23" s="76"/>
      <c r="C23" s="52"/>
      <c r="D23" s="52"/>
      <c r="E23" s="52"/>
      <c r="F23" s="52"/>
      <c r="G23" s="52"/>
      <c r="H23" s="52"/>
      <c r="I23" s="125"/>
    </row>
    <row r="24" spans="1:9" ht="15" customHeight="1" x14ac:dyDescent="0.2">
      <c r="A24" s="119"/>
      <c r="B24" s="129" t="s">
        <v>83</v>
      </c>
      <c r="C24" s="132" cm="1">
        <f t="array" ref="C24">'Production + COGS'!C80</f>
        <v>0</v>
      </c>
      <c r="D24" s="132" cm="1">
        <f t="array" ref="D24">'Production + COGS'!D80</f>
        <v>0</v>
      </c>
      <c r="E24" s="132" cm="1">
        <f t="array" ref="E24">'Production + COGS'!E80</f>
        <v>1530000</v>
      </c>
      <c r="F24" s="132" cm="1">
        <f t="array" ref="F24">'Production + COGS'!F80</f>
        <v>5130000</v>
      </c>
      <c r="G24" s="132" cm="1">
        <f t="array" ref="G24">'Production + COGS'!G80</f>
        <v>10530000</v>
      </c>
      <c r="H24" s="132" cm="1">
        <f t="array" ref="H24">'Production + COGS'!H80</f>
        <v>17775000</v>
      </c>
      <c r="I24" s="125"/>
    </row>
    <row r="25" spans="1:9" ht="15" customHeight="1" x14ac:dyDescent="0.2">
      <c r="A25" s="119"/>
      <c r="B25" s="140"/>
      <c r="C25" s="141"/>
      <c r="D25" s="141"/>
      <c r="E25" s="141"/>
      <c r="F25" s="141"/>
      <c r="G25" s="141"/>
      <c r="H25" s="141"/>
      <c r="I25" s="125"/>
    </row>
    <row r="26" spans="1:9" ht="15" customHeight="1" x14ac:dyDescent="0.2">
      <c r="A26" s="119"/>
      <c r="B26" s="76"/>
      <c r="C26" s="52"/>
      <c r="D26" s="52"/>
      <c r="E26" s="52"/>
      <c r="F26" s="52"/>
      <c r="G26" s="52"/>
      <c r="H26" s="52"/>
      <c r="I26" s="125"/>
    </row>
    <row r="27" spans="1:9" ht="15" customHeight="1" x14ac:dyDescent="0.2">
      <c r="A27" s="119"/>
      <c r="B27" s="129" t="s">
        <v>84</v>
      </c>
      <c r="C27" s="132" cm="1">
        <f t="array" ref="C27">-'CapEx Detail'!E15</f>
        <v>-1190000</v>
      </c>
      <c r="D27" s="132" cm="1">
        <f t="array" ref="D27">-'CapEx Detail'!F15</f>
        <v>-2440000</v>
      </c>
      <c r="E27" s="132" cm="1">
        <f t="array" ref="E27">-'CapEx Detail'!G15</f>
        <v>-1210000</v>
      </c>
      <c r="F27" s="132" cm="1">
        <f t="array" ref="F27">-'CapEx Detail'!H15</f>
        <v>-750000</v>
      </c>
      <c r="G27" s="132" cm="1">
        <f t="array" ref="G27">-'CapEx Detail'!I15</f>
        <v>-500000</v>
      </c>
      <c r="H27" s="132" cm="1">
        <f t="array" ref="H27">-'CapEx Detail'!J15</f>
        <v>0</v>
      </c>
      <c r="I27" s="133" cm="1">
        <f t="array" ref="I27">SUM(C27:H27)</f>
        <v>-6090000</v>
      </c>
    </row>
    <row r="28" spans="1:9" ht="15" customHeight="1" x14ac:dyDescent="0.2">
      <c r="A28" s="142"/>
      <c r="B28" s="143" t="s">
        <v>85</v>
      </c>
      <c r="C28" s="144" cm="1">
        <f t="array" ref="C28">C21+C27</f>
        <v>-3127864.9474999998</v>
      </c>
      <c r="D28" s="144" cm="1">
        <f t="array" ref="D28">D21+D27</f>
        <v>-2509055.2750000004</v>
      </c>
      <c r="E28" s="144" cm="1">
        <f t="array" ref="E28">E21+E27</f>
        <v>8892010.25</v>
      </c>
      <c r="F28" s="144" cm="1">
        <f t="array" ref="F28">F21+F27</f>
        <v>41645194.25</v>
      </c>
      <c r="G28" s="144" cm="1">
        <f t="array" ref="G28">G21+G27</f>
        <v>81511519.25</v>
      </c>
      <c r="H28" s="144" cm="1">
        <f t="array" ref="H28">H21+H27</f>
        <v>122968594.25</v>
      </c>
      <c r="I28" s="145" cm="1">
        <f t="array" ref="I28">SUM(C28:H28)</f>
        <v>249380397.7775</v>
      </c>
    </row>
  </sheetData>
  <mergeCells count="1">
    <mergeCell ref="A4:B4"/>
  </mergeCells>
  <pageMargins left="0.75" right="0.75" top="1" bottom="1" header="0.51181100000000002" footer="0.51180599999999998"/>
  <pageSetup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6"/>
  <sheetViews>
    <sheetView showGridLines="0" workbookViewId="0">
      <selection activeCell="H10" sqref="H10"/>
    </sheetView>
  </sheetViews>
  <sheetFormatPr baseColWidth="10" defaultColWidth="8.6640625" defaultRowHeight="15" customHeight="1" x14ac:dyDescent="0.2"/>
  <cols>
    <col min="1" max="1" width="1.6640625" style="1" customWidth="1"/>
    <col min="2" max="2" width="44.83203125" style="1" customWidth="1"/>
    <col min="3" max="4" width="16" style="1" customWidth="1"/>
    <col min="5" max="5" width="82.33203125" style="1" customWidth="1"/>
    <col min="6" max="6" width="8.6640625" style="1" customWidth="1"/>
    <col min="7" max="16384" width="8.6640625" style="1"/>
  </cols>
  <sheetData>
    <row r="1" spans="1:5" ht="13.5" customHeight="1" x14ac:dyDescent="0.2">
      <c r="A1" s="114"/>
      <c r="B1" s="5"/>
      <c r="C1" s="5"/>
      <c r="D1" s="5"/>
      <c r="E1" s="25"/>
    </row>
    <row r="2" spans="1:5" ht="21" customHeight="1" x14ac:dyDescent="0.2">
      <c r="A2" s="146"/>
      <c r="B2" s="147" t="s">
        <v>86</v>
      </c>
      <c r="C2" s="117"/>
      <c r="D2" s="117"/>
      <c r="E2" s="118"/>
    </row>
    <row r="3" spans="1:5" ht="21" customHeight="1" x14ac:dyDescent="0.2">
      <c r="A3" s="119"/>
      <c r="B3" s="148" t="s">
        <v>87</v>
      </c>
      <c r="C3" s="121"/>
      <c r="D3" s="121"/>
      <c r="E3" s="121"/>
    </row>
    <row r="4" spans="1:5" ht="21" customHeight="1" x14ac:dyDescent="0.2">
      <c r="A4" s="149"/>
      <c r="B4" s="101" t="s">
        <v>88</v>
      </c>
      <c r="C4" s="150"/>
      <c r="D4" s="151"/>
      <c r="E4" s="151"/>
    </row>
    <row r="5" spans="1:5" ht="21" customHeight="1" x14ac:dyDescent="0.2">
      <c r="A5" s="119"/>
      <c r="B5" s="152" t="s">
        <v>89</v>
      </c>
      <c r="C5" s="153">
        <v>1</v>
      </c>
      <c r="D5" s="121"/>
      <c r="E5" s="121"/>
    </row>
    <row r="6" spans="1:5" ht="21" customHeight="1" x14ac:dyDescent="0.2">
      <c r="A6" s="119"/>
      <c r="B6" s="154" t="s">
        <v>90</v>
      </c>
      <c r="C6" s="153">
        <v>1</v>
      </c>
      <c r="D6" s="121"/>
      <c r="E6" s="121"/>
    </row>
    <row r="7" spans="1:5" ht="21" customHeight="1" x14ac:dyDescent="0.2">
      <c r="A7" s="119"/>
      <c r="B7" s="154" t="s">
        <v>91</v>
      </c>
      <c r="C7" s="153">
        <v>1</v>
      </c>
      <c r="D7" s="121"/>
      <c r="E7" s="121"/>
    </row>
    <row r="8" spans="1:5" ht="21" customHeight="1" x14ac:dyDescent="0.2">
      <c r="A8" s="119"/>
      <c r="B8" s="154" t="s">
        <v>92</v>
      </c>
      <c r="C8" s="155">
        <v>0</v>
      </c>
      <c r="D8" s="121"/>
      <c r="E8" s="121"/>
    </row>
    <row r="9" spans="1:5" ht="30" customHeight="1" x14ac:dyDescent="0.2">
      <c r="A9" s="119"/>
      <c r="B9" s="156" t="s">
        <v>93</v>
      </c>
      <c r="C9" s="157">
        <v>1500000</v>
      </c>
      <c r="D9" s="121"/>
      <c r="E9" s="158" t="s">
        <v>94</v>
      </c>
    </row>
    <row r="10" spans="1:5" ht="21" customHeight="1" x14ac:dyDescent="0.2">
      <c r="A10" s="119"/>
      <c r="B10" s="121"/>
      <c r="C10" s="121"/>
      <c r="D10" s="121"/>
      <c r="E10" s="289"/>
    </row>
    <row r="11" spans="1:5" ht="21" customHeight="1" x14ac:dyDescent="0.2">
      <c r="A11" s="159"/>
      <c r="B11" s="160" t="s">
        <v>95</v>
      </c>
      <c r="C11" s="122"/>
      <c r="D11" s="122"/>
      <c r="E11" s="123"/>
    </row>
    <row r="12" spans="1:5" ht="21" customHeight="1" x14ac:dyDescent="0.2">
      <c r="A12" s="161"/>
      <c r="B12" s="162"/>
      <c r="C12" s="52"/>
      <c r="D12" s="52"/>
      <c r="E12" s="163" t="s">
        <v>96</v>
      </c>
    </row>
    <row r="13" spans="1:5" ht="21" customHeight="1" x14ac:dyDescent="0.2">
      <c r="A13" s="161"/>
      <c r="B13" s="110" t="s">
        <v>97</v>
      </c>
      <c r="C13" s="51">
        <v>75</v>
      </c>
      <c r="D13" s="52"/>
      <c r="E13" s="163" t="s">
        <v>98</v>
      </c>
    </row>
    <row r="14" spans="1:5" ht="21" customHeight="1" x14ac:dyDescent="0.2">
      <c r="A14" s="161"/>
      <c r="B14" s="110" t="s">
        <v>99</v>
      </c>
      <c r="C14" s="164">
        <v>0.15</v>
      </c>
      <c r="D14" s="52"/>
      <c r="E14" s="163" t="s">
        <v>100</v>
      </c>
    </row>
    <row r="15" spans="1:5" ht="21" customHeight="1" x14ac:dyDescent="0.2">
      <c r="A15" s="161"/>
      <c r="B15" s="110" t="s">
        <v>101</v>
      </c>
      <c r="C15" s="51">
        <v>3</v>
      </c>
      <c r="D15" s="52"/>
      <c r="E15" s="163" t="s">
        <v>102</v>
      </c>
    </row>
    <row r="16" spans="1:5" ht="21" customHeight="1" x14ac:dyDescent="0.2">
      <c r="A16" s="165"/>
      <c r="B16" s="166" t="s">
        <v>103</v>
      </c>
      <c r="C16" s="167">
        <v>0.5</v>
      </c>
      <c r="D16" s="168"/>
      <c r="E16" s="169" t="s">
        <v>104</v>
      </c>
    </row>
  </sheetData>
  <pageMargins left="0.75" right="0.75" top="1" bottom="1" header="0.51181100000000002" footer="0.51180599999999998"/>
  <pageSetup orientation="landscape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4"/>
  <sheetViews>
    <sheetView showGridLines="0" workbookViewId="0"/>
  </sheetViews>
  <sheetFormatPr baseColWidth="10" defaultColWidth="8.6640625" defaultRowHeight="15" customHeight="1" x14ac:dyDescent="0.2"/>
  <cols>
    <col min="1" max="1" width="1.5" style="1" customWidth="1"/>
    <col min="2" max="2" width="28.5" style="1" customWidth="1"/>
    <col min="3" max="3" width="11" style="1" customWidth="1"/>
    <col min="4" max="4" width="12" style="1" customWidth="1"/>
    <col min="5" max="6" width="13" style="1" customWidth="1"/>
    <col min="7" max="7" width="70" style="1" customWidth="1"/>
    <col min="8" max="8" width="8.6640625" style="1" customWidth="1"/>
    <col min="9" max="16384" width="8.6640625" style="1"/>
  </cols>
  <sheetData>
    <row r="1" spans="1:7" ht="9" customHeight="1" x14ac:dyDescent="0.2">
      <c r="A1" s="170"/>
      <c r="B1" s="171"/>
      <c r="C1" s="172"/>
      <c r="D1" s="173"/>
      <c r="E1" s="174"/>
      <c r="F1" s="174"/>
      <c r="G1" s="175"/>
    </row>
    <row r="2" spans="1:7" ht="21" customHeight="1" x14ac:dyDescent="0.2">
      <c r="A2" s="146"/>
      <c r="B2" s="147" t="s">
        <v>105</v>
      </c>
      <c r="C2" s="117"/>
      <c r="D2" s="117"/>
      <c r="E2" s="117"/>
      <c r="F2" s="117"/>
      <c r="G2" s="118"/>
    </row>
    <row r="3" spans="1:7" ht="21" customHeight="1" x14ac:dyDescent="0.2">
      <c r="A3" s="119"/>
      <c r="B3" s="120" t="s">
        <v>106</v>
      </c>
      <c r="C3" s="121"/>
      <c r="D3" s="121"/>
      <c r="E3" s="121"/>
      <c r="F3" s="121"/>
      <c r="G3" s="121"/>
    </row>
    <row r="4" spans="1:7" ht="21" customHeight="1" x14ac:dyDescent="0.2">
      <c r="A4" s="119"/>
      <c r="B4" s="121"/>
      <c r="C4" s="121"/>
      <c r="D4" s="121"/>
      <c r="E4" s="121"/>
      <c r="F4" s="121"/>
      <c r="G4" s="121"/>
    </row>
    <row r="5" spans="1:7" ht="21" customHeight="1" x14ac:dyDescent="0.2">
      <c r="A5" s="119"/>
      <c r="B5" s="176" t="s">
        <v>107</v>
      </c>
      <c r="C5" s="176" t="s">
        <v>108</v>
      </c>
      <c r="D5" s="176" t="s">
        <v>109</v>
      </c>
      <c r="E5" s="176" t="s">
        <v>110</v>
      </c>
      <c r="F5" s="176" t="s">
        <v>111</v>
      </c>
      <c r="G5" s="176" t="s">
        <v>112</v>
      </c>
    </row>
    <row r="6" spans="1:7" ht="21" customHeight="1" x14ac:dyDescent="0.2">
      <c r="A6" s="119"/>
      <c r="B6" s="154" t="s">
        <v>113</v>
      </c>
      <c r="C6" s="155">
        <v>1</v>
      </c>
      <c r="D6" s="177">
        <v>24450</v>
      </c>
      <c r="E6" s="177" cm="1">
        <f t="array" ref="E6">ROUND('Production + COGS'!H17*D6,0)</f>
        <v>15893</v>
      </c>
      <c r="F6" s="153" cm="1">
        <f t="array" ref="F6">E6/D6</f>
        <v>0.65002044989775054</v>
      </c>
      <c r="G6" s="178" t="s">
        <v>114</v>
      </c>
    </row>
    <row r="7" spans="1:7" ht="21" customHeight="1" x14ac:dyDescent="0.2">
      <c r="A7" s="119"/>
      <c r="B7" s="154" t="s">
        <v>115</v>
      </c>
      <c r="C7" s="155">
        <v>1</v>
      </c>
      <c r="D7" s="177">
        <v>27000</v>
      </c>
      <c r="E7" s="177">
        <v>18900</v>
      </c>
      <c r="F7" s="153" cm="1">
        <f t="array" ref="F7">E7/D7</f>
        <v>0.7</v>
      </c>
      <c r="G7" s="178" t="s">
        <v>116</v>
      </c>
    </row>
    <row r="8" spans="1:7" ht="21" customHeight="1" x14ac:dyDescent="0.2">
      <c r="A8" s="119"/>
      <c r="B8" s="154" t="s">
        <v>117</v>
      </c>
      <c r="C8" s="155">
        <v>2</v>
      </c>
      <c r="D8" s="177">
        <v>85000</v>
      </c>
      <c r="E8" s="177">
        <v>59500</v>
      </c>
      <c r="F8" s="153" cm="1">
        <f t="array" ref="F8">E8/D8</f>
        <v>0.7</v>
      </c>
      <c r="G8" s="178" t="s">
        <v>118</v>
      </c>
    </row>
    <row r="9" spans="1:7" ht="21" customHeight="1" x14ac:dyDescent="0.2">
      <c r="A9" s="119"/>
      <c r="B9" s="154" t="s">
        <v>119</v>
      </c>
      <c r="C9" s="155">
        <v>3</v>
      </c>
      <c r="D9" s="177">
        <v>35000</v>
      </c>
      <c r="E9" s="177">
        <v>22000</v>
      </c>
      <c r="F9" s="153" cm="1">
        <f t="array" ref="F9">E9/D9</f>
        <v>0.62857142857142856</v>
      </c>
      <c r="G9" s="178" t="s">
        <v>120</v>
      </c>
    </row>
    <row r="10" spans="1:7" ht="21" customHeight="1" x14ac:dyDescent="0.2">
      <c r="A10" s="119"/>
      <c r="B10" s="154" t="s">
        <v>121</v>
      </c>
      <c r="C10" s="155">
        <v>4</v>
      </c>
      <c r="D10" s="177">
        <v>50000</v>
      </c>
      <c r="E10" s="177">
        <v>31000</v>
      </c>
      <c r="F10" s="153" cm="1">
        <f t="array" ref="F10">E10/D10</f>
        <v>0.62</v>
      </c>
      <c r="G10" s="178" t="s">
        <v>122</v>
      </c>
    </row>
    <row r="11" spans="1:7" ht="21" customHeight="1" x14ac:dyDescent="0.2">
      <c r="A11" s="119"/>
      <c r="B11" s="154" t="s">
        <v>123</v>
      </c>
      <c r="C11" s="155">
        <v>6</v>
      </c>
      <c r="D11" s="177">
        <v>100000</v>
      </c>
      <c r="E11" s="177">
        <v>65000</v>
      </c>
      <c r="F11" s="153" cm="1">
        <f t="array" ref="F11">E11/D11</f>
        <v>0.65</v>
      </c>
      <c r="G11" s="178" t="s">
        <v>124</v>
      </c>
    </row>
    <row r="12" spans="1:7" ht="13.5" customHeight="1" x14ac:dyDescent="0.2">
      <c r="A12" s="161"/>
      <c r="B12" s="174"/>
      <c r="C12" s="174"/>
      <c r="D12" s="174"/>
      <c r="E12" s="174"/>
      <c r="F12" s="174"/>
      <c r="G12" s="175"/>
    </row>
    <row r="13" spans="1:7" ht="15" customHeight="1" x14ac:dyDescent="0.2">
      <c r="A13" s="179"/>
      <c r="B13" s="110" t="s">
        <v>125</v>
      </c>
      <c r="C13" s="52"/>
      <c r="D13" s="52"/>
      <c r="E13" s="52"/>
      <c r="F13" s="52"/>
      <c r="G13" s="125"/>
    </row>
    <row r="14" spans="1:7" ht="15" customHeight="1" x14ac:dyDescent="0.2">
      <c r="A14" s="180"/>
      <c r="B14" s="181"/>
      <c r="C14" s="181"/>
      <c r="D14" s="181"/>
      <c r="E14" s="182"/>
      <c r="F14" s="182"/>
      <c r="G14" s="183"/>
    </row>
  </sheetData>
  <pageMargins left="0.75" right="0.75" top="1" bottom="1" header="0.51181100000000002" footer="0.51180599999999998"/>
  <pageSetup orientation="landscape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0"/>
  <sheetViews>
    <sheetView showGridLines="0" topLeftCell="A44" workbookViewId="0"/>
  </sheetViews>
  <sheetFormatPr baseColWidth="10" defaultColWidth="8.6640625" defaultRowHeight="15" customHeight="1" x14ac:dyDescent="0.2"/>
  <cols>
    <col min="1" max="1" width="1.6640625" style="1" customWidth="1"/>
    <col min="2" max="2" width="71.6640625" style="1" customWidth="1"/>
    <col min="3" max="9" width="15.5" style="1" customWidth="1"/>
    <col min="10" max="10" width="72.33203125" style="1" customWidth="1"/>
    <col min="11" max="11" width="8.6640625" style="1" customWidth="1"/>
    <col min="12" max="16384" width="8.6640625" style="1"/>
  </cols>
  <sheetData>
    <row r="1" spans="1:10" ht="8.5" customHeight="1" x14ac:dyDescent="0.2">
      <c r="A1" s="184"/>
      <c r="B1" s="185"/>
      <c r="C1" s="186"/>
      <c r="D1" s="186"/>
      <c r="E1" s="186"/>
      <c r="F1" s="186"/>
      <c r="G1" s="186"/>
      <c r="H1" s="186"/>
      <c r="I1" s="186"/>
      <c r="J1" s="187"/>
    </row>
    <row r="2" spans="1:10" ht="21" customHeight="1" x14ac:dyDescent="0.2">
      <c r="A2" s="146"/>
      <c r="B2" s="188" t="s">
        <v>126</v>
      </c>
      <c r="C2" s="189"/>
      <c r="D2" s="189"/>
      <c r="E2" s="189"/>
      <c r="F2" s="189"/>
      <c r="G2" s="189"/>
      <c r="H2" s="189"/>
      <c r="I2" s="189"/>
      <c r="J2" s="190"/>
    </row>
    <row r="3" spans="1:10" ht="21" customHeight="1" x14ac:dyDescent="0.2">
      <c r="A3" s="119"/>
      <c r="B3" s="120" t="s">
        <v>127</v>
      </c>
      <c r="C3" s="121"/>
      <c r="D3" s="121"/>
      <c r="E3" s="121"/>
      <c r="F3" s="121"/>
      <c r="G3" s="121"/>
      <c r="H3" s="121"/>
      <c r="I3" s="121"/>
      <c r="J3" s="121"/>
    </row>
    <row r="4" spans="1:10" ht="21" customHeight="1" x14ac:dyDescent="0.2">
      <c r="A4" s="119"/>
      <c r="B4" s="191"/>
      <c r="C4" s="191"/>
      <c r="D4" s="191"/>
      <c r="E4" s="191"/>
      <c r="F4" s="191"/>
      <c r="G4" s="191"/>
      <c r="H4" s="191"/>
      <c r="I4" s="121"/>
      <c r="J4" s="121"/>
    </row>
    <row r="5" spans="1:10" ht="19.5" customHeight="1" x14ac:dyDescent="0.2">
      <c r="A5" s="149"/>
      <c r="B5" s="282" t="s">
        <v>128</v>
      </c>
      <c r="C5" s="282"/>
      <c r="D5" s="282"/>
      <c r="E5" s="282"/>
      <c r="F5" s="282"/>
      <c r="G5" s="282"/>
      <c r="H5" s="282"/>
      <c r="I5" s="150"/>
      <c r="J5" s="151"/>
    </row>
    <row r="6" spans="1:10" ht="21" customHeight="1" x14ac:dyDescent="0.2">
      <c r="A6" s="192"/>
      <c r="B6" s="176" t="s">
        <v>107</v>
      </c>
      <c r="C6" s="176" t="s">
        <v>38</v>
      </c>
      <c r="D6" s="176" t="s">
        <v>39</v>
      </c>
      <c r="E6" s="176" t="s">
        <v>40</v>
      </c>
      <c r="F6" s="176" t="s">
        <v>41</v>
      </c>
      <c r="G6" s="176" t="s">
        <v>42</v>
      </c>
      <c r="H6" s="176" t="s">
        <v>43</v>
      </c>
      <c r="I6" s="176" t="s">
        <v>69</v>
      </c>
      <c r="J6" s="283" t="s">
        <v>129</v>
      </c>
    </row>
    <row r="7" spans="1:10" ht="21" customHeight="1" x14ac:dyDescent="0.2">
      <c r="A7" s="119"/>
      <c r="B7" s="193" t="str" cm="1">
        <f t="array" ref="B7">'Product Catalog'!B6</f>
        <v>EQUAD</v>
      </c>
      <c r="C7" s="194">
        <v>50</v>
      </c>
      <c r="D7" s="194">
        <v>500</v>
      </c>
      <c r="E7" s="194">
        <v>1500</v>
      </c>
      <c r="F7" s="194">
        <v>2500</v>
      </c>
      <c r="G7" s="194">
        <v>2500</v>
      </c>
      <c r="H7" s="194">
        <v>2500</v>
      </c>
      <c r="I7" s="194" cm="1">
        <f t="array" ref="I7">SUM(C7:H7)</f>
        <v>9550</v>
      </c>
      <c r="J7" s="284"/>
    </row>
    <row r="8" spans="1:10" ht="21" customHeight="1" x14ac:dyDescent="0.2">
      <c r="A8" s="119"/>
      <c r="B8" s="193" t="str" cm="1">
        <f t="array" ref="B8">'Product Catalog'!B7</f>
        <v>EQUAD 4X4 (merged into EQUAD)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  <c r="H8" s="194">
        <v>0</v>
      </c>
      <c r="I8" s="194" cm="1">
        <f t="array" ref="I8">SUM(C8:H8)</f>
        <v>0</v>
      </c>
      <c r="J8" s="121"/>
    </row>
    <row r="9" spans="1:10" ht="21" customHeight="1" x14ac:dyDescent="0.2">
      <c r="A9" s="119"/>
      <c r="B9" s="193" t="str" cm="1">
        <f t="array" ref="B9">'Product Catalog'!B8</f>
        <v>Driverless</v>
      </c>
      <c r="C9" s="194">
        <v>0</v>
      </c>
      <c r="D9" s="194">
        <v>10</v>
      </c>
      <c r="E9" s="194">
        <v>100</v>
      </c>
      <c r="F9" s="194">
        <v>500</v>
      </c>
      <c r="G9" s="194">
        <v>1000</v>
      </c>
      <c r="H9" s="194">
        <v>1500</v>
      </c>
      <c r="I9" s="194" cm="1">
        <f t="array" ref="I9">SUM(C9:H9)</f>
        <v>3110</v>
      </c>
      <c r="J9" s="121"/>
    </row>
    <row r="10" spans="1:10" ht="21" customHeight="1" x14ac:dyDescent="0.2">
      <c r="A10" s="119"/>
      <c r="B10" s="193" t="str" cm="1">
        <f t="array" ref="B10">'Product Catalog'!B9</f>
        <v>KEI Truck</v>
      </c>
      <c r="C10" s="194">
        <v>0</v>
      </c>
      <c r="D10" s="194">
        <v>0</v>
      </c>
      <c r="E10" s="194">
        <v>100</v>
      </c>
      <c r="F10" s="194">
        <v>500</v>
      </c>
      <c r="G10" s="194">
        <v>1500</v>
      </c>
      <c r="H10" s="194">
        <v>2000</v>
      </c>
      <c r="I10" s="194" cm="1">
        <f t="array" ref="I10">SUM(C10:H10)</f>
        <v>4100</v>
      </c>
      <c r="J10" s="121"/>
    </row>
    <row r="11" spans="1:10" ht="21" customHeight="1" x14ac:dyDescent="0.2">
      <c r="A11" s="119"/>
      <c r="B11" s="193" t="str" cm="1">
        <f t="array" ref="B11">'Product Catalog'!B10</f>
        <v>SVS</v>
      </c>
      <c r="C11" s="194">
        <v>0</v>
      </c>
      <c r="D11" s="194">
        <v>0</v>
      </c>
      <c r="E11" s="194">
        <v>0</v>
      </c>
      <c r="F11" s="194">
        <v>500</v>
      </c>
      <c r="G11" s="194">
        <v>1000</v>
      </c>
      <c r="H11" s="194">
        <v>2000</v>
      </c>
      <c r="I11" s="194" cm="1">
        <f t="array" ref="I11">SUM(C11:H11)</f>
        <v>3500</v>
      </c>
      <c r="J11" s="121"/>
    </row>
    <row r="12" spans="1:10" ht="21" customHeight="1" x14ac:dyDescent="0.2">
      <c r="A12" s="119"/>
      <c r="B12" s="193" t="str" cm="1">
        <f t="array" ref="B12">'Product Catalog'!B11</f>
        <v>Limited Ed.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  <c r="H12" s="194">
        <v>50</v>
      </c>
      <c r="I12" s="194" cm="1">
        <f t="array" ref="I12">SUM(C12:H12)</f>
        <v>50</v>
      </c>
      <c r="J12" s="121"/>
    </row>
    <row r="13" spans="1:10" ht="19.5" customHeight="1" x14ac:dyDescent="0.2">
      <c r="A13" s="195"/>
      <c r="B13" s="196" t="s">
        <v>130</v>
      </c>
      <c r="C13" s="197" cm="1">
        <f t="array" ref="C13">SUM(C7:C12)</f>
        <v>50</v>
      </c>
      <c r="D13" s="197" cm="1">
        <f t="array" ref="D13">SUM(D7:D12)</f>
        <v>510</v>
      </c>
      <c r="E13" s="197" cm="1">
        <f t="array" ref="E13">SUM(E7:E12)</f>
        <v>1700</v>
      </c>
      <c r="F13" s="197" cm="1">
        <f t="array" ref="F13">SUM(F7:F12)</f>
        <v>4000</v>
      </c>
      <c r="G13" s="197" cm="1">
        <f t="array" ref="G13">SUM(G7:G12)</f>
        <v>6000</v>
      </c>
      <c r="H13" s="197" cm="1">
        <f t="array" ref="H13">SUM(H7:H12)</f>
        <v>8050</v>
      </c>
      <c r="I13" s="197" cm="1">
        <f t="array" ref="I13">SUM(I7:I12)</f>
        <v>20310</v>
      </c>
      <c r="J13" s="151"/>
    </row>
    <row r="14" spans="1:10" ht="9" customHeight="1" x14ac:dyDescent="0.2">
      <c r="A14" s="119"/>
      <c r="B14" s="191"/>
      <c r="C14" s="191"/>
      <c r="D14" s="191"/>
      <c r="E14" s="191"/>
      <c r="F14" s="191"/>
      <c r="G14" s="191"/>
      <c r="H14" s="191"/>
      <c r="I14" s="121"/>
      <c r="J14" s="121"/>
    </row>
    <row r="15" spans="1:10" ht="19.5" customHeight="1" x14ac:dyDescent="0.2">
      <c r="A15" s="149"/>
      <c r="B15" s="282" t="s">
        <v>131</v>
      </c>
      <c r="C15" s="282"/>
      <c r="D15" s="282"/>
      <c r="E15" s="282"/>
      <c r="F15" s="282"/>
      <c r="G15" s="282"/>
      <c r="H15" s="282"/>
      <c r="I15" s="150"/>
      <c r="J15" s="151"/>
    </row>
    <row r="16" spans="1:10" ht="21" customHeight="1" x14ac:dyDescent="0.2">
      <c r="A16" s="192"/>
      <c r="B16" s="176" t="s">
        <v>107</v>
      </c>
      <c r="C16" s="176" t="s">
        <v>132</v>
      </c>
      <c r="D16" s="176" t="s">
        <v>133</v>
      </c>
      <c r="E16" s="176" t="s">
        <v>134</v>
      </c>
      <c r="F16" s="176" t="s">
        <v>135</v>
      </c>
      <c r="G16" s="176" t="s">
        <v>136</v>
      </c>
      <c r="H16" s="176" t="s">
        <v>137</v>
      </c>
      <c r="I16" s="198"/>
      <c r="J16" s="283" t="s">
        <v>138</v>
      </c>
    </row>
    <row r="17" spans="1:10" ht="21" customHeight="1" x14ac:dyDescent="0.2">
      <c r="A17" s="119"/>
      <c r="B17" s="193" t="str" cm="1">
        <f t="array" ref="B17">'Product Catalog'!B6</f>
        <v>EQUAD</v>
      </c>
      <c r="C17" s="153">
        <v>0.95</v>
      </c>
      <c r="D17" s="153">
        <v>0.85</v>
      </c>
      <c r="E17" s="153">
        <v>0.8</v>
      </c>
      <c r="F17" s="153">
        <v>0.75</v>
      </c>
      <c r="G17" s="153">
        <v>0.7</v>
      </c>
      <c r="H17" s="153">
        <v>0.65</v>
      </c>
      <c r="I17" s="121"/>
      <c r="J17" s="284"/>
    </row>
    <row r="18" spans="1:10" ht="21" customHeight="1" x14ac:dyDescent="0.2">
      <c r="A18" s="119"/>
      <c r="B18" s="193" t="str" cm="1">
        <f t="array" ref="B18">'Product Catalog'!B7</f>
        <v>EQUAD 4X4 (merged into EQUAD)</v>
      </c>
      <c r="C18" s="153">
        <v>0.9</v>
      </c>
      <c r="D18" s="153">
        <v>0.83</v>
      </c>
      <c r="E18" s="153">
        <v>0.78</v>
      </c>
      <c r="F18" s="153">
        <v>0.73</v>
      </c>
      <c r="G18" s="153">
        <v>0.68</v>
      </c>
      <c r="H18" s="153">
        <v>0.65</v>
      </c>
      <c r="I18" s="121"/>
      <c r="J18" s="121"/>
    </row>
    <row r="19" spans="1:10" ht="21" customHeight="1" x14ac:dyDescent="0.2">
      <c r="A19" s="119"/>
      <c r="B19" s="193" t="str" cm="1">
        <f t="array" ref="B19">'Product Catalog'!B8</f>
        <v>Driverless</v>
      </c>
      <c r="C19" s="153">
        <v>1</v>
      </c>
      <c r="D19" s="153">
        <v>0.9</v>
      </c>
      <c r="E19" s="153">
        <v>0.82</v>
      </c>
      <c r="F19" s="153">
        <v>0.75</v>
      </c>
      <c r="G19" s="153">
        <v>0.7</v>
      </c>
      <c r="H19" s="153">
        <v>0.65</v>
      </c>
      <c r="I19" s="121"/>
      <c r="J19" s="121"/>
    </row>
    <row r="20" spans="1:10" ht="21" customHeight="1" x14ac:dyDescent="0.2">
      <c r="A20" s="119"/>
      <c r="B20" s="193" t="str" cm="1">
        <f t="array" ref="B20">'Product Catalog'!B9</f>
        <v>KEI Truck</v>
      </c>
      <c r="C20" s="153">
        <v>0.95</v>
      </c>
      <c r="D20" s="153">
        <v>0.8</v>
      </c>
      <c r="E20" s="153">
        <v>0.75</v>
      </c>
      <c r="F20" s="153">
        <v>0.7</v>
      </c>
      <c r="G20" s="153">
        <v>0.65</v>
      </c>
      <c r="H20" s="153">
        <v>0.65</v>
      </c>
      <c r="I20" s="121"/>
      <c r="J20" s="121"/>
    </row>
    <row r="21" spans="1:10" ht="21" customHeight="1" x14ac:dyDescent="0.2">
      <c r="A21" s="119"/>
      <c r="B21" s="193" t="str" cm="1">
        <f t="array" ref="B21">'Product Catalog'!B10</f>
        <v>SVS</v>
      </c>
      <c r="C21" s="153">
        <v>0.95</v>
      </c>
      <c r="D21" s="153">
        <v>0.78</v>
      </c>
      <c r="E21" s="153">
        <v>0.73</v>
      </c>
      <c r="F21" s="153">
        <v>0.68</v>
      </c>
      <c r="G21" s="153">
        <v>0.65</v>
      </c>
      <c r="H21" s="153">
        <v>0.65</v>
      </c>
      <c r="I21" s="121"/>
      <c r="J21" s="121"/>
    </row>
    <row r="22" spans="1:10" ht="21" customHeight="1" x14ac:dyDescent="0.2">
      <c r="A22" s="119"/>
      <c r="B22" s="193" t="str" cm="1">
        <f t="array" ref="B22">'Product Catalog'!B11</f>
        <v>Limited Ed.</v>
      </c>
      <c r="C22" s="153">
        <v>0.95</v>
      </c>
      <c r="D22" s="153">
        <v>0.85</v>
      </c>
      <c r="E22" s="153">
        <v>0.8</v>
      </c>
      <c r="F22" s="153">
        <v>0.78</v>
      </c>
      <c r="G22" s="153">
        <v>0.75</v>
      </c>
      <c r="H22" s="153">
        <v>0.72</v>
      </c>
      <c r="I22" s="121"/>
      <c r="J22" s="121"/>
    </row>
    <row r="23" spans="1:10" ht="30" customHeight="1" x14ac:dyDescent="0.2">
      <c r="A23" s="119"/>
      <c r="B23" s="199" t="s">
        <v>139</v>
      </c>
      <c r="C23" s="121">
        <v>0.871811</v>
      </c>
      <c r="D23" s="121">
        <v>0.74788900000000003</v>
      </c>
      <c r="E23" s="121">
        <v>0.66205999999999998</v>
      </c>
      <c r="F23" s="121">
        <v>0.65</v>
      </c>
      <c r="G23" s="121">
        <v>0.65</v>
      </c>
      <c r="H23" s="121">
        <v>0.65</v>
      </c>
      <c r="I23" s="121"/>
      <c r="J23" s="200" t="s">
        <v>140</v>
      </c>
    </row>
    <row r="24" spans="1:10" ht="21" customHeight="1" x14ac:dyDescent="0.2">
      <c r="A24" s="201"/>
      <c r="B24" s="202" t="s">
        <v>141</v>
      </c>
      <c r="C24" s="203"/>
      <c r="D24" s="203"/>
      <c r="E24" s="203"/>
      <c r="F24" s="203"/>
      <c r="G24" s="203"/>
      <c r="H24" s="203"/>
      <c r="I24" s="203"/>
      <c r="J24" s="203"/>
    </row>
    <row r="25" spans="1:10" ht="30" customHeight="1" x14ac:dyDescent="0.2">
      <c r="A25" s="119"/>
      <c r="B25" s="121"/>
      <c r="C25" s="121"/>
      <c r="D25" s="121"/>
      <c r="E25" s="121"/>
      <c r="F25" s="121"/>
      <c r="G25" s="121"/>
      <c r="H25" s="121"/>
      <c r="I25" s="121"/>
      <c r="J25" s="178" t="s">
        <v>142</v>
      </c>
    </row>
    <row r="26" spans="1:10" ht="21" customHeight="1" x14ac:dyDescent="0.2">
      <c r="A26" s="119"/>
      <c r="B26" s="204" t="s">
        <v>143</v>
      </c>
      <c r="C26" s="204" t="s">
        <v>144</v>
      </c>
      <c r="D26" s="204" t="s">
        <v>145</v>
      </c>
      <c r="E26" s="121"/>
      <c r="F26" s="121"/>
      <c r="G26" s="121"/>
      <c r="H26" s="121"/>
      <c r="I26" s="121"/>
      <c r="J26" s="121"/>
    </row>
    <row r="27" spans="1:10" ht="21" customHeight="1" x14ac:dyDescent="0.2">
      <c r="A27" s="119"/>
      <c r="B27" s="154" t="s">
        <v>146</v>
      </c>
      <c r="C27" s="194">
        <v>0</v>
      </c>
      <c r="D27" s="194">
        <v>10</v>
      </c>
      <c r="E27" s="121"/>
      <c r="F27" s="121"/>
      <c r="G27" s="121"/>
      <c r="H27" s="121"/>
      <c r="I27" s="121"/>
      <c r="J27" s="121"/>
    </row>
    <row r="28" spans="1:10" ht="21" customHeight="1" x14ac:dyDescent="0.2">
      <c r="A28" s="119"/>
      <c r="B28" s="154" t="s">
        <v>147</v>
      </c>
      <c r="C28" s="194">
        <v>10</v>
      </c>
      <c r="D28" s="194">
        <v>50</v>
      </c>
      <c r="E28" s="121"/>
      <c r="F28" s="121"/>
      <c r="G28" s="121"/>
      <c r="H28" s="121"/>
      <c r="I28" s="121"/>
      <c r="J28" s="121"/>
    </row>
    <row r="29" spans="1:10" ht="21" customHeight="1" x14ac:dyDescent="0.2">
      <c r="A29" s="119"/>
      <c r="B29" s="154" t="s">
        <v>148</v>
      </c>
      <c r="C29" s="194">
        <v>50</v>
      </c>
      <c r="D29" s="194">
        <v>100</v>
      </c>
      <c r="E29" s="121"/>
      <c r="F29" s="121"/>
      <c r="G29" s="121"/>
      <c r="H29" s="121"/>
      <c r="I29" s="121"/>
      <c r="J29" s="121"/>
    </row>
    <row r="30" spans="1:10" ht="21" customHeight="1" x14ac:dyDescent="0.2">
      <c r="A30" s="119"/>
      <c r="B30" s="154" t="s">
        <v>149</v>
      </c>
      <c r="C30" s="194">
        <v>100</v>
      </c>
      <c r="D30" s="194">
        <v>250</v>
      </c>
      <c r="E30" s="121"/>
      <c r="F30" s="121"/>
      <c r="G30" s="121"/>
      <c r="H30" s="121"/>
      <c r="I30" s="121"/>
      <c r="J30" s="121"/>
    </row>
    <row r="31" spans="1:10" ht="21" customHeight="1" x14ac:dyDescent="0.2">
      <c r="A31" s="119"/>
      <c r="B31" s="154" t="s">
        <v>150</v>
      </c>
      <c r="C31" s="194">
        <v>250</v>
      </c>
      <c r="D31" s="194">
        <v>500</v>
      </c>
      <c r="E31" s="121"/>
      <c r="F31" s="121"/>
      <c r="G31" s="121"/>
      <c r="H31" s="121"/>
      <c r="I31" s="121"/>
      <c r="J31" s="121"/>
    </row>
    <row r="32" spans="1:10" ht="21" customHeight="1" x14ac:dyDescent="0.2">
      <c r="A32" s="119"/>
      <c r="B32" s="154" t="s">
        <v>151</v>
      </c>
      <c r="C32" s="194">
        <v>500</v>
      </c>
      <c r="D32" s="194">
        <v>6500</v>
      </c>
      <c r="E32" s="121"/>
      <c r="F32" s="121"/>
      <c r="G32" s="121"/>
      <c r="H32" s="121"/>
      <c r="I32" s="121"/>
      <c r="J32" s="121"/>
    </row>
    <row r="33" spans="1:10" ht="21" customHeight="1" x14ac:dyDescent="0.2">
      <c r="A33" s="119"/>
      <c r="B33" s="121"/>
      <c r="C33" s="121"/>
      <c r="D33" s="121"/>
      <c r="E33" s="121"/>
      <c r="F33" s="121"/>
      <c r="G33" s="121"/>
      <c r="H33" s="121"/>
      <c r="I33" s="121"/>
      <c r="J33" s="121"/>
    </row>
    <row r="34" spans="1:10" ht="21" customHeight="1" x14ac:dyDescent="0.2">
      <c r="A34" s="119"/>
      <c r="B34" s="205" t="s">
        <v>152</v>
      </c>
      <c r="C34" s="205"/>
      <c r="D34" s="205"/>
      <c r="E34" s="205"/>
      <c r="F34" s="205"/>
      <c r="G34" s="205"/>
      <c r="H34" s="205"/>
      <c r="I34" s="121"/>
      <c r="J34" s="121"/>
    </row>
    <row r="35" spans="1:10" ht="21" customHeight="1" x14ac:dyDescent="0.2">
      <c r="A35" s="192"/>
      <c r="B35" s="176" t="s">
        <v>107</v>
      </c>
      <c r="C35" s="176" t="s">
        <v>153</v>
      </c>
      <c r="D35" s="176" t="s">
        <v>154</v>
      </c>
      <c r="E35" s="176" t="s">
        <v>155</v>
      </c>
      <c r="F35" s="176" t="s">
        <v>156</v>
      </c>
      <c r="G35" s="176" t="s">
        <v>157</v>
      </c>
      <c r="H35" s="176" t="s">
        <v>158</v>
      </c>
      <c r="I35" s="198"/>
      <c r="J35" s="283" t="s">
        <v>159</v>
      </c>
    </row>
    <row r="36" spans="1:10" ht="21" customHeight="1" x14ac:dyDescent="0.2">
      <c r="A36" s="119"/>
      <c r="B36" s="193" t="str" cm="1">
        <f t="array" ref="B36">'Product Catalog'!B6</f>
        <v>EQUAD</v>
      </c>
      <c r="C36" s="194" cm="1">
        <f t="array" ref="C36">ROUND(C7*'Master Dials'!$C$7,0)</f>
        <v>50</v>
      </c>
      <c r="D36" s="194" cm="1">
        <f t="array" ref="D36">C36+ROUND(D7*'Master Dials'!$C$7,0)</f>
        <v>550</v>
      </c>
      <c r="E36" s="194" cm="1">
        <f t="array" ref="E36">D36+ROUND(E7*'Master Dials'!$C$7,0)</f>
        <v>2050</v>
      </c>
      <c r="F36" s="194" cm="1">
        <f t="array" ref="F36">E36+ROUND(F7*'Master Dials'!$C$7,0)</f>
        <v>4550</v>
      </c>
      <c r="G36" s="194" cm="1">
        <f t="array" ref="G36">F36+ROUND(G7*'Master Dials'!$C$7,0)</f>
        <v>7050</v>
      </c>
      <c r="H36" s="194" cm="1">
        <f t="array" ref="H36">G36+ROUND(H7*'Master Dials'!$C$7,0)</f>
        <v>9550</v>
      </c>
      <c r="I36" s="121"/>
      <c r="J36" s="284"/>
    </row>
    <row r="37" spans="1:10" ht="21" customHeight="1" x14ac:dyDescent="0.2">
      <c r="A37" s="119"/>
      <c r="B37" s="193" t="str" cm="1">
        <f t="array" ref="B37">'Product Catalog'!B7</f>
        <v>EQUAD 4X4 (merged into EQUAD)</v>
      </c>
      <c r="C37" s="194" cm="1">
        <f t="array" ref="C37">ROUND(C8*'Master Dials'!$C$7,0)</f>
        <v>0</v>
      </c>
      <c r="D37" s="194" cm="1">
        <f t="array" ref="D37">C37+ROUND(D8*'Master Dials'!$C$7,0)</f>
        <v>0</v>
      </c>
      <c r="E37" s="194" cm="1">
        <f t="array" ref="E37">D37+ROUND(E8*'Master Dials'!$C$7,0)</f>
        <v>0</v>
      </c>
      <c r="F37" s="194" cm="1">
        <f t="array" ref="F37">E37+ROUND(F8*'Master Dials'!$C$7,0)</f>
        <v>0</v>
      </c>
      <c r="G37" s="194" cm="1">
        <f t="array" ref="G37">F37+ROUND(G8*'Master Dials'!$C$7,0)</f>
        <v>0</v>
      </c>
      <c r="H37" s="194" cm="1">
        <f t="array" ref="H37">G37+ROUND(H8*'Master Dials'!$C$7,0)</f>
        <v>0</v>
      </c>
      <c r="I37" s="121"/>
      <c r="J37" s="121"/>
    </row>
    <row r="38" spans="1:10" ht="21" customHeight="1" x14ac:dyDescent="0.2">
      <c r="A38" s="119"/>
      <c r="B38" s="193" t="str" cm="1">
        <f t="array" ref="B38">'Product Catalog'!B8</f>
        <v>Driverless</v>
      </c>
      <c r="C38" s="194" cm="1">
        <f t="array" ref="C38">ROUND(C9*'Master Dials'!$C$7,0)</f>
        <v>0</v>
      </c>
      <c r="D38" s="194" cm="1">
        <f t="array" ref="D38">C38+ROUND(D9*'Master Dials'!$C$7,0)</f>
        <v>10</v>
      </c>
      <c r="E38" s="194" cm="1">
        <f t="array" ref="E38">D38+ROUND(E9*'Master Dials'!$C$7,0)</f>
        <v>110</v>
      </c>
      <c r="F38" s="194" cm="1">
        <f t="array" ref="F38">E38+ROUND(F9*'Master Dials'!$C$7,0)</f>
        <v>610</v>
      </c>
      <c r="G38" s="194" cm="1">
        <f t="array" ref="G38">F38+ROUND(G9*'Master Dials'!$C$7,0)</f>
        <v>1610</v>
      </c>
      <c r="H38" s="194" cm="1">
        <f t="array" ref="H38">G38+ROUND(H9*'Master Dials'!$C$7,0)</f>
        <v>3110</v>
      </c>
      <c r="I38" s="121"/>
      <c r="J38" s="121"/>
    </row>
    <row r="39" spans="1:10" ht="21" customHeight="1" x14ac:dyDescent="0.2">
      <c r="A39" s="119"/>
      <c r="B39" s="193" t="str" cm="1">
        <f t="array" ref="B39">'Product Catalog'!B9</f>
        <v>KEI Truck</v>
      </c>
      <c r="C39" s="194" cm="1">
        <f t="array" ref="C39">ROUND(C10*'Master Dials'!$C$7,0)</f>
        <v>0</v>
      </c>
      <c r="D39" s="194" cm="1">
        <f t="array" ref="D39">C39+ROUND(D10*'Master Dials'!$C$7,0)</f>
        <v>0</v>
      </c>
      <c r="E39" s="194" cm="1">
        <f t="array" ref="E39">D39+ROUND(E10*'Master Dials'!$C$7,0)</f>
        <v>100</v>
      </c>
      <c r="F39" s="194" cm="1">
        <f t="array" ref="F39">E39+ROUND(F10*'Master Dials'!$C$7,0)</f>
        <v>600</v>
      </c>
      <c r="G39" s="194" cm="1">
        <f t="array" ref="G39">F39+ROUND(G10*'Master Dials'!$C$7,0)</f>
        <v>2100</v>
      </c>
      <c r="H39" s="194" cm="1">
        <f t="array" ref="H39">G39+ROUND(H10*'Master Dials'!$C$7,0)</f>
        <v>4100</v>
      </c>
      <c r="I39" s="121"/>
      <c r="J39" s="121"/>
    </row>
    <row r="40" spans="1:10" ht="21" customHeight="1" x14ac:dyDescent="0.2">
      <c r="A40" s="119"/>
      <c r="B40" s="193" t="str" cm="1">
        <f t="array" ref="B40">'Product Catalog'!B10</f>
        <v>SVS</v>
      </c>
      <c r="C40" s="194" cm="1">
        <f t="array" ref="C40">ROUND(C11*'Master Dials'!$C$7,0)</f>
        <v>0</v>
      </c>
      <c r="D40" s="194" cm="1">
        <f t="array" ref="D40">C40+ROUND(D11*'Master Dials'!$C$7,0)</f>
        <v>0</v>
      </c>
      <c r="E40" s="194" cm="1">
        <f t="array" ref="E40">D40+ROUND(E11*'Master Dials'!$C$7,0)</f>
        <v>0</v>
      </c>
      <c r="F40" s="194" cm="1">
        <f t="array" ref="F40">E40+ROUND(F11*'Master Dials'!$C$7,0)</f>
        <v>500</v>
      </c>
      <c r="G40" s="194" cm="1">
        <f t="array" ref="G40">F40+ROUND(G11*'Master Dials'!$C$7,0)</f>
        <v>1500</v>
      </c>
      <c r="H40" s="194" cm="1">
        <f t="array" ref="H40">G40+ROUND(H11*'Master Dials'!$C$7,0)</f>
        <v>3500</v>
      </c>
      <c r="I40" s="121"/>
      <c r="J40" s="121"/>
    </row>
    <row r="41" spans="1:10" ht="21" customHeight="1" x14ac:dyDescent="0.2">
      <c r="A41" s="119"/>
      <c r="B41" s="193" t="str" cm="1">
        <f t="array" ref="B41">'Product Catalog'!B11</f>
        <v>Limited Ed.</v>
      </c>
      <c r="C41" s="194" cm="1">
        <f t="array" ref="C41">ROUND(C12*'Master Dials'!$C$7,0)</f>
        <v>0</v>
      </c>
      <c r="D41" s="194" cm="1">
        <f t="array" ref="D41">C41+ROUND(D12*'Master Dials'!$C$7,0)</f>
        <v>0</v>
      </c>
      <c r="E41" s="194" cm="1">
        <f t="array" ref="E41">D41+ROUND(E12*'Master Dials'!$C$7,0)</f>
        <v>0</v>
      </c>
      <c r="F41" s="194" cm="1">
        <f t="array" ref="F41">E41+ROUND(F12*'Master Dials'!$C$7,0)</f>
        <v>0</v>
      </c>
      <c r="G41" s="194" cm="1">
        <f t="array" ref="G41">F41+ROUND(G12*'Master Dials'!$C$7,0)</f>
        <v>0</v>
      </c>
      <c r="H41" s="194" cm="1">
        <f t="array" ref="H41">G41+ROUND(H12*'Master Dials'!$C$7,0)</f>
        <v>50</v>
      </c>
      <c r="I41" s="121"/>
      <c r="J41" s="121"/>
    </row>
    <row r="42" spans="1:10" ht="21" customHeight="1" x14ac:dyDescent="0.2">
      <c r="A42" s="119"/>
      <c r="B42" s="191"/>
      <c r="C42" s="191"/>
      <c r="D42" s="191"/>
      <c r="E42" s="191"/>
      <c r="F42" s="191"/>
      <c r="G42" s="191"/>
      <c r="H42" s="191"/>
      <c r="I42" s="121"/>
      <c r="J42" s="121"/>
    </row>
    <row r="43" spans="1:10" ht="19.5" customHeight="1" x14ac:dyDescent="0.2">
      <c r="A43" s="149"/>
      <c r="B43" s="282" t="s">
        <v>160</v>
      </c>
      <c r="C43" s="282"/>
      <c r="D43" s="282"/>
      <c r="E43" s="282"/>
      <c r="F43" s="282"/>
      <c r="G43" s="282"/>
      <c r="H43" s="282"/>
      <c r="I43" s="150"/>
      <c r="J43" s="151"/>
    </row>
    <row r="44" spans="1:10" ht="21" customHeight="1" x14ac:dyDescent="0.2">
      <c r="A44" s="192"/>
      <c r="B44" s="176" t="s">
        <v>37</v>
      </c>
      <c r="C44" s="176" t="s">
        <v>38</v>
      </c>
      <c r="D44" s="176" t="s">
        <v>39</v>
      </c>
      <c r="E44" s="176" t="s">
        <v>40</v>
      </c>
      <c r="F44" s="176" t="s">
        <v>41</v>
      </c>
      <c r="G44" s="176" t="s">
        <v>42</v>
      </c>
      <c r="H44" s="176" t="s">
        <v>43</v>
      </c>
      <c r="I44" s="176" t="s">
        <v>69</v>
      </c>
      <c r="J44" s="283" t="s">
        <v>161</v>
      </c>
    </row>
    <row r="45" spans="1:10" ht="21" customHeight="1" x14ac:dyDescent="0.2">
      <c r="A45" s="119"/>
      <c r="B45" s="193" t="str" cm="1">
        <f t="array" ref="B45">"Revenue — "&amp;'Product Catalog'!B6</f>
        <v>Revenue — EQUAD</v>
      </c>
      <c r="C45" s="177" cm="1">
        <f t="array" ref="C45">ROUND(C7*'Master Dials'!$C$6,0)*'Product Catalog'!D6</f>
        <v>1222500</v>
      </c>
      <c r="D45" s="177" cm="1">
        <f t="array" ref="D45">ROUND(D7*'Master Dials'!$C$6,0)*'Product Catalog'!D6</f>
        <v>12225000</v>
      </c>
      <c r="E45" s="177" cm="1">
        <f t="array" ref="E45">ROUND(E7*'Master Dials'!$C$6,0)*'Product Catalog'!D6</f>
        <v>36675000</v>
      </c>
      <c r="F45" s="177" cm="1">
        <f t="array" ref="F45">ROUND(F7*'Master Dials'!$C$6,0)*'Product Catalog'!D6</f>
        <v>61125000</v>
      </c>
      <c r="G45" s="177" cm="1">
        <f t="array" ref="G45">ROUND(G7*'Master Dials'!$C$6,0)*'Product Catalog'!D6</f>
        <v>61125000</v>
      </c>
      <c r="H45" s="177" cm="1">
        <f t="array" ref="H45">ROUND(H7*'Master Dials'!$C$6,0)*'Product Catalog'!D6</f>
        <v>61125000</v>
      </c>
      <c r="I45" s="177" cm="1">
        <f t="array" ref="I45">SUM(C45:H45)</f>
        <v>233497500</v>
      </c>
      <c r="J45" s="284"/>
    </row>
    <row r="46" spans="1:10" ht="21" customHeight="1" x14ac:dyDescent="0.2">
      <c r="A46" s="119"/>
      <c r="B46" s="193" t="str" cm="1">
        <f t="array" ref="B46">"Revenue — "&amp;'Product Catalog'!B7</f>
        <v>Revenue — EQUAD 4X4 (merged into EQUAD)</v>
      </c>
      <c r="C46" s="177" cm="1">
        <f t="array" ref="C46">ROUND(C8*'Master Dials'!$C$6,0)*'Product Catalog'!D7</f>
        <v>0</v>
      </c>
      <c r="D46" s="177" cm="1">
        <f t="array" ref="D46">ROUND(D8*'Master Dials'!$C$6,0)*'Product Catalog'!D7</f>
        <v>0</v>
      </c>
      <c r="E46" s="177" cm="1">
        <f t="array" ref="E46">ROUND(E8*'Master Dials'!$C$6,0)*'Product Catalog'!D7</f>
        <v>0</v>
      </c>
      <c r="F46" s="177" cm="1">
        <f t="array" ref="F46">ROUND(F8*'Master Dials'!$C$6,0)*'Product Catalog'!D7</f>
        <v>0</v>
      </c>
      <c r="G46" s="177" cm="1">
        <f t="array" ref="G46">ROUND(G8*'Master Dials'!$C$6,0)*'Product Catalog'!D7</f>
        <v>0</v>
      </c>
      <c r="H46" s="177" cm="1">
        <f t="array" ref="H46">ROUND(H8*'Master Dials'!$C$6,0)*'Product Catalog'!D7</f>
        <v>0</v>
      </c>
      <c r="I46" s="177" cm="1">
        <f t="array" ref="I46">SUM(C46:H46)</f>
        <v>0</v>
      </c>
      <c r="J46" s="121"/>
    </row>
    <row r="47" spans="1:10" ht="21" customHeight="1" x14ac:dyDescent="0.2">
      <c r="A47" s="119"/>
      <c r="B47" s="193" t="str" cm="1">
        <f t="array" ref="B47">"Revenue — "&amp;'Product Catalog'!B8</f>
        <v>Revenue — Driverless</v>
      </c>
      <c r="C47" s="177" cm="1">
        <f t="array" ref="C47">ROUND(C9*'Master Dials'!$C$6,0)*'Product Catalog'!D8</f>
        <v>0</v>
      </c>
      <c r="D47" s="177" cm="1">
        <f t="array" ref="D47">ROUND(D9*'Master Dials'!$C$6,0)*'Product Catalog'!D8</f>
        <v>850000</v>
      </c>
      <c r="E47" s="177" cm="1">
        <f t="array" ref="E47">ROUND(E9*'Master Dials'!$C$6,0)*'Product Catalog'!D8</f>
        <v>8500000</v>
      </c>
      <c r="F47" s="177" cm="1">
        <f t="array" ref="F47">ROUND(F9*'Master Dials'!$C$6,0)*'Product Catalog'!D8</f>
        <v>42500000</v>
      </c>
      <c r="G47" s="177" cm="1">
        <f t="array" ref="G47">ROUND(G9*'Master Dials'!$C$6,0)*'Product Catalog'!D8</f>
        <v>85000000</v>
      </c>
      <c r="H47" s="177" cm="1">
        <f t="array" ref="H47">ROUND(H9*'Master Dials'!$C$6,0)*'Product Catalog'!D8</f>
        <v>127500000</v>
      </c>
      <c r="I47" s="177" cm="1">
        <f t="array" ref="I47">SUM(C47:H47)</f>
        <v>264350000</v>
      </c>
      <c r="J47" s="121"/>
    </row>
    <row r="48" spans="1:10" ht="21" customHeight="1" x14ac:dyDescent="0.2">
      <c r="A48" s="119"/>
      <c r="B48" s="193" t="str" cm="1">
        <f t="array" ref="B48">"Revenue — "&amp;'Product Catalog'!B9</f>
        <v>Revenue — KEI Truck</v>
      </c>
      <c r="C48" s="177" cm="1">
        <f t="array" ref="C48">ROUND(C10*'Master Dials'!$C$6,0)*'Product Catalog'!D9</f>
        <v>0</v>
      </c>
      <c r="D48" s="177" cm="1">
        <f t="array" ref="D48">ROUND(D10*'Master Dials'!$C$6,0)*'Product Catalog'!D9</f>
        <v>0</v>
      </c>
      <c r="E48" s="177" cm="1">
        <f t="array" ref="E48">ROUND(E10*'Master Dials'!$C$6,0)*'Product Catalog'!D9</f>
        <v>3500000</v>
      </c>
      <c r="F48" s="177" cm="1">
        <f t="array" ref="F48">ROUND(F10*'Master Dials'!$C$6,0)*'Product Catalog'!D9</f>
        <v>17500000</v>
      </c>
      <c r="G48" s="177" cm="1">
        <f t="array" ref="G48">ROUND(G10*'Master Dials'!$C$6,0)*'Product Catalog'!D9</f>
        <v>52500000</v>
      </c>
      <c r="H48" s="177" cm="1">
        <f t="array" ref="H48">ROUND(H10*'Master Dials'!$C$6,0)*'Product Catalog'!D9</f>
        <v>70000000</v>
      </c>
      <c r="I48" s="177" cm="1">
        <f t="array" ref="I48">SUM(C48:H48)</f>
        <v>143500000</v>
      </c>
      <c r="J48" s="121"/>
    </row>
    <row r="49" spans="1:10" ht="21" customHeight="1" x14ac:dyDescent="0.2">
      <c r="A49" s="119"/>
      <c r="B49" s="193" t="str" cm="1">
        <f t="array" ref="B49">"Revenue — "&amp;'Product Catalog'!B10</f>
        <v>Revenue — SVS</v>
      </c>
      <c r="C49" s="177" cm="1">
        <f t="array" ref="C49">ROUND(C11*'Master Dials'!$C$6,0)*'Product Catalog'!D10</f>
        <v>0</v>
      </c>
      <c r="D49" s="177" cm="1">
        <f t="array" ref="D49">ROUND(D11*'Master Dials'!$C$6,0)*'Product Catalog'!D10</f>
        <v>0</v>
      </c>
      <c r="E49" s="177" cm="1">
        <f t="array" ref="E49">ROUND(E11*'Master Dials'!$C$6,0)*'Product Catalog'!D10</f>
        <v>0</v>
      </c>
      <c r="F49" s="177" cm="1">
        <f t="array" ref="F49">ROUND(F11*'Master Dials'!$C$6,0)*'Product Catalog'!D10</f>
        <v>25000000</v>
      </c>
      <c r="G49" s="177" cm="1">
        <f t="array" ref="G49">ROUND(G11*'Master Dials'!$C$6,0)*'Product Catalog'!D10</f>
        <v>50000000</v>
      </c>
      <c r="H49" s="177" cm="1">
        <f t="array" ref="H49">ROUND(H11*'Master Dials'!$C$6,0)*'Product Catalog'!D10</f>
        <v>100000000</v>
      </c>
      <c r="I49" s="177" cm="1">
        <f t="array" ref="I49">SUM(C49:H49)</f>
        <v>175000000</v>
      </c>
      <c r="J49" s="121"/>
    </row>
    <row r="50" spans="1:10" ht="21" customHeight="1" x14ac:dyDescent="0.2">
      <c r="A50" s="119"/>
      <c r="B50" s="193" t="str" cm="1">
        <f t="array" ref="B50">"Revenue — "&amp;'Product Catalog'!B11</f>
        <v>Revenue — Limited Ed.</v>
      </c>
      <c r="C50" s="177" cm="1">
        <f t="array" ref="C50">ROUND(C12*'Master Dials'!$C$6,0)*'Product Catalog'!D11</f>
        <v>0</v>
      </c>
      <c r="D50" s="177" cm="1">
        <f t="array" ref="D50">ROUND(D12*'Master Dials'!$C$6,0)*'Product Catalog'!D11</f>
        <v>0</v>
      </c>
      <c r="E50" s="177" cm="1">
        <f t="array" ref="E50">ROUND(E12*'Master Dials'!$C$6,0)*'Product Catalog'!D11</f>
        <v>0</v>
      </c>
      <c r="F50" s="177" cm="1">
        <f t="array" ref="F50">ROUND(F12*'Master Dials'!$C$6,0)*'Product Catalog'!D11</f>
        <v>0</v>
      </c>
      <c r="G50" s="177" cm="1">
        <f t="array" ref="G50">ROUND(G12*'Master Dials'!$C$6,0)*'Product Catalog'!D11</f>
        <v>0</v>
      </c>
      <c r="H50" s="177" cm="1">
        <f t="array" ref="H50">ROUND(H12*'Master Dials'!$C$6,0)*'Product Catalog'!D11</f>
        <v>5000000</v>
      </c>
      <c r="I50" s="177" cm="1">
        <f t="array" ref="I50">SUM(C50:H50)</f>
        <v>5000000</v>
      </c>
      <c r="J50" s="121"/>
    </row>
    <row r="51" spans="1:10" ht="19.5" customHeight="1" x14ac:dyDescent="0.2">
      <c r="A51" s="195"/>
      <c r="B51" s="196" t="s">
        <v>162</v>
      </c>
      <c r="C51" s="206" cm="1">
        <f t="array" ref="C51">SUM(C45:C50)</f>
        <v>1222500</v>
      </c>
      <c r="D51" s="206" cm="1">
        <f t="array" ref="D51">SUM(D45:D50)</f>
        <v>13075000</v>
      </c>
      <c r="E51" s="206" cm="1">
        <f t="array" ref="E51">SUM(E45:E50)</f>
        <v>48675000</v>
      </c>
      <c r="F51" s="206" cm="1">
        <f t="array" ref="F51">SUM(F45:F50)</f>
        <v>146125000</v>
      </c>
      <c r="G51" s="206" cm="1">
        <f t="array" ref="G51">SUM(G45:G50)</f>
        <v>248625000</v>
      </c>
      <c r="H51" s="206" cm="1">
        <f t="array" ref="H51">SUM(H45:H50)</f>
        <v>363625000</v>
      </c>
      <c r="I51" s="206" cm="1">
        <f t="array" ref="I51">SUM(I45:I50)</f>
        <v>821347500</v>
      </c>
      <c r="J51" s="151"/>
    </row>
    <row r="52" spans="1:10" ht="21" customHeight="1" x14ac:dyDescent="0.2">
      <c r="A52" s="119"/>
      <c r="B52" s="193" t="str" cm="1">
        <f t="array" ref="B52">"COGS — "&amp;'Product Catalog'!B6</f>
        <v>COGS — EQUAD</v>
      </c>
      <c r="C52" s="177" cm="1">
        <f t="array" ref="C52">C45*C23</f>
        <v>1065788.9475</v>
      </c>
      <c r="D52" s="177" cm="1">
        <f t="array" ref="D52">D45*D23</f>
        <v>9142943.0250000004</v>
      </c>
      <c r="E52" s="177" cm="1">
        <f t="array" ref="E52">E45*E23</f>
        <v>24281050.5</v>
      </c>
      <c r="F52" s="177" cm="1">
        <f t="array" ref="F52">F45*F23</f>
        <v>39731250</v>
      </c>
      <c r="G52" s="177" cm="1">
        <f t="array" ref="G52">G45*G23</f>
        <v>39731250</v>
      </c>
      <c r="H52" s="177" cm="1">
        <f t="array" ref="H52">H45*H23</f>
        <v>39731250</v>
      </c>
      <c r="I52" s="177" cm="1">
        <f t="array" ref="I52">SUM(C52:H52)</f>
        <v>153683532.4725</v>
      </c>
      <c r="J52" s="121"/>
    </row>
    <row r="53" spans="1:10" ht="21" customHeight="1" x14ac:dyDescent="0.2">
      <c r="A53" s="119"/>
      <c r="B53" s="193" t="str" cm="1">
        <f t="array" ref="B53">"COGS — "&amp;'Product Catalog'!B7</f>
        <v>COGS — EQUAD 4X4 (merged into EQUAD)</v>
      </c>
      <c r="C53" s="177" cm="1">
        <f t="array" ref="C53">(MAX(0,MIN(C37,$D$27)-MAX(0,$C$27))*C18+MAX(0,MIN(C37,$D$28)-MAX(0,$C$28))*D18+MAX(0,MIN(C37,$D$29)-MAX(0,$C$29))*E18+MAX(0,MIN(C37,$D$30)-MAX(0,$C$30))*F18+MAX(0,MIN(C37,$D$31)-MAX(0,$C$31))*G18+MAX(0,MIN(C37,$D$32)-MAX(0,$C$32))*H18)*'Product Catalog'!D7*'Master Dials'!$C$5</f>
        <v>0</v>
      </c>
      <c r="D53" s="177" cm="1">
        <f t="array" ref="D53">(MAX(0,MIN(D37,$D$27)-MAX(C37,$C$27))*C18+MAX(0,MIN(D37,$D$28)-MAX(C37,$C$28))*D18+MAX(0,MIN(D37,$D$29)-MAX(C37,$C$29))*E18+MAX(0,MIN(D37,$D$30)-MAX(C37,$C$30))*F18+MAX(0,MIN(D37,$D$31)-MAX(C37,$C$31))*G18+MAX(0,MIN(D37,$D$32)-MAX(C37,$C$32))*H18)*'Product Catalog'!D7*'Master Dials'!$C$5</f>
        <v>0</v>
      </c>
      <c r="E53" s="177" cm="1">
        <f t="array" ref="E53">(MAX(0,MIN(E37,$D$27)-MAX(D37,$C$27))*C18+MAX(0,MIN(E37,$D$28)-MAX(D37,$C$28))*D18+MAX(0,MIN(E37,$D$29)-MAX(D37,$C$29))*E18+MAX(0,MIN(E37,$D$30)-MAX(D37,$C$30))*F18+MAX(0,MIN(E37,$D$31)-MAX(D37,$C$31))*G18+MAX(0,MIN(E37,$D$32)-MAX(D37,$C$32))*H18)*'Product Catalog'!D7*'Master Dials'!$C$5</f>
        <v>0</v>
      </c>
      <c r="F53" s="177" cm="1">
        <f t="array" ref="F53">(MAX(0,MIN(F37,$D$27)-MAX(E37,$C$27))*C18+MAX(0,MIN(F37,$D$28)-MAX(E37,$C$28))*D18+MAX(0,MIN(F37,$D$29)-MAX(E37,$C$29))*E18+MAX(0,MIN(F37,$D$30)-MAX(E37,$C$30))*F18+MAX(0,MIN(F37,$D$31)-MAX(E37,$C$31))*G18+MAX(0,MIN(F37,$D$32)-MAX(E37,$C$32))*H18)*'Product Catalog'!D7*'Master Dials'!$C$5</f>
        <v>0</v>
      </c>
      <c r="G53" s="177" cm="1">
        <f t="array" ref="G53">(MAX(0,MIN(G37,$D$27)-MAX(F37,$C$27))*C18+MAX(0,MIN(G37,$D$28)-MAX(F37,$C$28))*D18+MAX(0,MIN(G37,$D$29)-MAX(F37,$C$29))*E18+MAX(0,MIN(G37,$D$30)-MAX(F37,$C$30))*F18+MAX(0,MIN(G37,$D$31)-MAX(F37,$C$31))*G18+MAX(0,MIN(G37,$D$32)-MAX(F37,$C$32))*H18)*'Product Catalog'!D7*'Master Dials'!$C$5</f>
        <v>0</v>
      </c>
      <c r="H53" s="177" cm="1">
        <f t="array" ref="H53">(MAX(0,MIN(H37,$D$27)-MAX(G37,$C$27))*C18+MAX(0,MIN(H37,$D$28)-MAX(G37,$C$28))*D18+MAX(0,MIN(H37,$D$29)-MAX(G37,$C$29))*E18+MAX(0,MIN(H37,$D$30)-MAX(G37,$C$30))*F18+MAX(0,MIN(H37,$D$31)-MAX(G37,$C$31))*G18+MAX(0,MIN(H37,$D$32)-MAX(G37,$C$32))*H18)*'Product Catalog'!D7*'Master Dials'!$C$5</f>
        <v>0</v>
      </c>
      <c r="I53" s="177" cm="1">
        <f t="array" ref="I53">SUM(C53:H53)</f>
        <v>0</v>
      </c>
      <c r="J53" s="121"/>
    </row>
    <row r="54" spans="1:10" ht="21" customHeight="1" x14ac:dyDescent="0.2">
      <c r="A54" s="119"/>
      <c r="B54" s="193" t="str" cm="1">
        <f t="array" ref="B54">"COGS — "&amp;'Product Catalog'!B8</f>
        <v>COGS — Driverless</v>
      </c>
      <c r="C54" s="177" cm="1">
        <f t="array" ref="C54">(MAX(0,MIN(C38,$D$27)-MAX(0,$C$27))*C19+MAX(0,MIN(C38,$D$28)-MAX(0,$C$28))*D19+MAX(0,MIN(C38,$D$29)-MAX(0,$C$29))*E19+MAX(0,MIN(C38,$D$30)-MAX(0,$C$30))*F19+MAX(0,MIN(C38,$D$31)-MAX(0,$C$31))*G19+MAX(0,MIN(C38,$D$32)-MAX(0,$C$32))*H19)*'Product Catalog'!D8*'Master Dials'!$C$5</f>
        <v>0</v>
      </c>
      <c r="D54" s="177" cm="1">
        <f t="array" ref="D54">(MAX(0,MIN(D38,$D$27)-MAX(C38,$C$27))*C19+MAX(0,MIN(D38,$D$28)-MAX(C38,$C$28))*D19+MAX(0,MIN(D38,$D$29)-MAX(C38,$C$29))*E19+MAX(0,MIN(D38,$D$30)-MAX(C38,$C$30))*F19+MAX(0,MIN(D38,$D$31)-MAX(C38,$C$31))*G19+MAX(0,MIN(D38,$D$32)-MAX(C38,$C$32))*H19)*'Product Catalog'!D8*'Master Dials'!$C$5</f>
        <v>850000</v>
      </c>
      <c r="E54" s="177" cm="1">
        <f t="array" ref="E54">(MAX(0,MIN(E38,$D$27)-MAX(D38,$C$27))*C19+MAX(0,MIN(E38,$D$28)-MAX(D38,$C$28))*D19+MAX(0,MIN(E38,$D$29)-MAX(D38,$C$29))*E19+MAX(0,MIN(E38,$D$30)-MAX(D38,$C$30))*F19+MAX(0,MIN(E38,$D$31)-MAX(D38,$C$31))*G19+MAX(0,MIN(E38,$D$32)-MAX(D38,$C$32))*H19)*'Product Catalog'!D8*'Master Dials'!$C$5</f>
        <v>7182500</v>
      </c>
      <c r="F54" s="177" cm="1">
        <f t="array" ref="F54">(MAX(0,MIN(F38,$D$27)-MAX(E38,$C$27))*C19+MAX(0,MIN(F38,$D$28)-MAX(E38,$C$28))*D19+MAX(0,MIN(F38,$D$29)-MAX(E38,$C$29))*E19+MAX(0,MIN(F38,$D$30)-MAX(E38,$C$30))*F19+MAX(0,MIN(F38,$D$31)-MAX(E38,$C$31))*G19+MAX(0,MIN(F38,$D$32)-MAX(E38,$C$32))*H19)*'Product Catalog'!D8*'Master Dials'!$C$5</f>
        <v>29877500</v>
      </c>
      <c r="G54" s="177" cm="1">
        <f t="array" ref="G54">(MAX(0,MIN(G38,$D$27)-MAX(F38,$C$27))*C19+MAX(0,MIN(G38,$D$28)-MAX(F38,$C$28))*D19+MAX(0,MIN(G38,$D$29)-MAX(F38,$C$29))*E19+MAX(0,MIN(G38,$D$30)-MAX(F38,$C$30))*F19+MAX(0,MIN(G38,$D$31)-MAX(F38,$C$31))*G19+MAX(0,MIN(G38,$D$32)-MAX(F38,$C$32))*H19)*'Product Catalog'!D8*'Master Dials'!$C$5</f>
        <v>55250000</v>
      </c>
      <c r="H54" s="177" cm="1">
        <f t="array" ref="H54">(MAX(0,MIN(H38,$D$27)-MAX(G38,$C$27))*C19+MAX(0,MIN(H38,$D$28)-MAX(G38,$C$28))*D19+MAX(0,MIN(H38,$D$29)-MAX(G38,$C$29))*E19+MAX(0,MIN(H38,$D$30)-MAX(G38,$C$30))*F19+MAX(0,MIN(H38,$D$31)-MAX(G38,$C$31))*G19+MAX(0,MIN(H38,$D$32)-MAX(G38,$C$32))*H19)*'Product Catalog'!D8*'Master Dials'!$C$5</f>
        <v>82875000</v>
      </c>
      <c r="I54" s="177" cm="1">
        <f t="array" ref="I54">SUM(C54:H54)</f>
        <v>176035000</v>
      </c>
      <c r="J54" s="121"/>
    </row>
    <row r="55" spans="1:10" ht="21" customHeight="1" x14ac:dyDescent="0.2">
      <c r="A55" s="119"/>
      <c r="B55" s="193" t="str" cm="1">
        <f t="array" ref="B55">"COGS — "&amp;'Product Catalog'!B9</f>
        <v>COGS — KEI Truck</v>
      </c>
      <c r="C55" s="177" cm="1">
        <f t="array" ref="C55">(MAX(0,MIN(C39,$D$27)-MAX(0,$C$27))*C20+MAX(0,MIN(C39,$D$28)-MAX(0,$C$28))*D20+MAX(0,MIN(C39,$D$29)-MAX(0,$C$29))*E20+MAX(0,MIN(C39,$D$30)-MAX(0,$C$30))*F20+MAX(0,MIN(C39,$D$31)-MAX(0,$C$31))*G20+MAX(0,MIN(C39,$D$32)-MAX(0,$C$32))*H20)*'Product Catalog'!D9*'Master Dials'!$C$5</f>
        <v>0</v>
      </c>
      <c r="D55" s="177" cm="1">
        <f t="array" ref="D55">(MAX(0,MIN(D39,$D$27)-MAX(C39,$C$27))*C20+MAX(0,MIN(D39,$D$28)-MAX(C39,$C$28))*D20+MAX(0,MIN(D39,$D$29)-MAX(C39,$C$29))*E20+MAX(0,MIN(D39,$D$30)-MAX(C39,$C$30))*F20+MAX(0,MIN(D39,$D$31)-MAX(C39,$C$31))*G20+MAX(0,MIN(D39,$D$32)-MAX(C39,$C$32))*H20)*'Product Catalog'!D9*'Master Dials'!$C$5</f>
        <v>0</v>
      </c>
      <c r="E55" s="177" cm="1">
        <f t="array" ref="E55">(MAX(0,MIN(E39,$D$27)-MAX(D39,$C$27))*C20+MAX(0,MIN(E39,$D$28)-MAX(D39,$C$28))*D20+MAX(0,MIN(E39,$D$29)-MAX(D39,$C$29))*E20+MAX(0,MIN(E39,$D$30)-MAX(D39,$C$30))*F20+MAX(0,MIN(E39,$D$31)-MAX(D39,$C$31))*G20+MAX(0,MIN(E39,$D$32)-MAX(D39,$C$32))*H20)*'Product Catalog'!D9*'Master Dials'!$C$5</f>
        <v>2765000</v>
      </c>
      <c r="F55" s="177" cm="1">
        <f t="array" ref="F55">(MAX(0,MIN(F39,$D$27)-MAX(E39,$C$27))*C20+MAX(0,MIN(F39,$D$28)-MAX(E39,$C$28))*D20+MAX(0,MIN(F39,$D$29)-MAX(E39,$C$29))*E20+MAX(0,MIN(F39,$D$30)-MAX(E39,$C$30))*F20+MAX(0,MIN(F39,$D$31)-MAX(E39,$C$31))*G20+MAX(0,MIN(F39,$D$32)-MAX(E39,$C$32))*H20)*'Product Catalog'!D9*'Master Dials'!$C$5</f>
        <v>11637500</v>
      </c>
      <c r="G55" s="177" cm="1">
        <f t="array" ref="G55">(MAX(0,MIN(G39,$D$27)-MAX(F39,$C$27))*C20+MAX(0,MIN(G39,$D$28)-MAX(F39,$C$28))*D20+MAX(0,MIN(G39,$D$29)-MAX(F39,$C$29))*E20+MAX(0,MIN(G39,$D$30)-MAX(F39,$C$30))*F20+MAX(0,MIN(G39,$D$31)-MAX(F39,$C$31))*G20+MAX(0,MIN(G39,$D$32)-MAX(F39,$C$32))*H20)*'Product Catalog'!D9*'Master Dials'!$C$5</f>
        <v>34125000</v>
      </c>
      <c r="H55" s="177" cm="1">
        <f t="array" ref="H55">(MAX(0,MIN(H39,$D$27)-MAX(G39,$C$27))*C20+MAX(0,MIN(H39,$D$28)-MAX(G39,$C$28))*D20+MAX(0,MIN(H39,$D$29)-MAX(G39,$C$29))*E20+MAX(0,MIN(H39,$D$30)-MAX(G39,$C$30))*F20+MAX(0,MIN(H39,$D$31)-MAX(G39,$C$31))*G20+MAX(0,MIN(H39,$D$32)-MAX(G39,$C$32))*H20)*'Product Catalog'!D9*'Master Dials'!$C$5</f>
        <v>45500000</v>
      </c>
      <c r="I55" s="177" cm="1">
        <f t="array" ref="I55">SUM(C55:H55)</f>
        <v>94027500</v>
      </c>
      <c r="J55" s="121"/>
    </row>
    <row r="56" spans="1:10" ht="21" customHeight="1" x14ac:dyDescent="0.2">
      <c r="A56" s="119"/>
      <c r="B56" s="193" t="str" cm="1">
        <f t="array" ref="B56">"COGS — "&amp;'Product Catalog'!B10</f>
        <v>COGS — SVS</v>
      </c>
      <c r="C56" s="177" cm="1">
        <f t="array" ref="C56">(MAX(0,MIN(C40,$D$27)-MAX(0,$C$27))*C21+MAX(0,MIN(C40,$D$28)-MAX(0,$C$28))*D21+MAX(0,MIN(C40,$D$29)-MAX(0,$C$29))*E21+MAX(0,MIN(C40,$D$30)-MAX(0,$C$30))*F21+MAX(0,MIN(C40,$D$31)-MAX(0,$C$31))*G21+MAX(0,MIN(C40,$D$32)-MAX(0,$C$32))*H21)*'Product Catalog'!D10*'Master Dials'!$C$5</f>
        <v>0</v>
      </c>
      <c r="D56" s="177" cm="1">
        <f t="array" ref="D56">(MAX(0,MIN(D40,$D$27)-MAX(C40,$C$27))*C21+MAX(0,MIN(D40,$D$28)-MAX(C40,$C$28))*D21+MAX(0,MIN(D40,$D$29)-MAX(C40,$C$29))*E21+MAX(0,MIN(D40,$D$30)-MAX(C40,$C$30))*F21+MAX(0,MIN(D40,$D$31)-MAX(C40,$C$31))*G21+MAX(0,MIN(D40,$D$32)-MAX(C40,$C$32))*H21)*'Product Catalog'!D10*'Master Dials'!$C$5</f>
        <v>0</v>
      </c>
      <c r="E56" s="177" cm="1">
        <f t="array" ref="E56">(MAX(0,MIN(E40,$D$27)-MAX(D40,$C$27))*C21+MAX(0,MIN(E40,$D$28)-MAX(D40,$C$28))*D21+MAX(0,MIN(E40,$D$29)-MAX(D40,$C$29))*E21+MAX(0,MIN(E40,$D$30)-MAX(D40,$C$30))*F21+MAX(0,MIN(E40,$D$31)-MAX(D40,$C$31))*G21+MAX(0,MIN(E40,$D$32)-MAX(D40,$C$32))*H21)*'Product Catalog'!D10*'Master Dials'!$C$5</f>
        <v>0</v>
      </c>
      <c r="F56" s="177" cm="1">
        <f t="array" ref="F56">(MAX(0,MIN(F40,$D$27)-MAX(E40,$C$27))*C21+MAX(0,MIN(F40,$D$28)-MAX(E40,$C$28))*D21+MAX(0,MIN(F40,$D$29)-MAX(E40,$C$29))*E21+MAX(0,MIN(F40,$D$30)-MAX(E40,$C$30))*F21+MAX(0,MIN(F40,$D$31)-MAX(E40,$C$31))*G21+MAX(0,MIN(F40,$D$32)-MAX(E40,$C$32))*H21)*'Product Catalog'!D10*'Master Dials'!$C$5</f>
        <v>17085000.000000004</v>
      </c>
      <c r="G56" s="177" cm="1">
        <f t="array" ref="G56">(MAX(0,MIN(G40,$D$27)-MAX(F40,$C$27))*C21+MAX(0,MIN(G40,$D$28)-MAX(F40,$C$28))*D21+MAX(0,MIN(G40,$D$29)-MAX(F40,$C$29))*E21+MAX(0,MIN(G40,$D$30)-MAX(F40,$C$30))*F21+MAX(0,MIN(G40,$D$31)-MAX(F40,$C$31))*G21+MAX(0,MIN(G40,$D$32)-MAX(F40,$C$32))*H21)*'Product Catalog'!D10*'Master Dials'!$C$5</f>
        <v>32500000</v>
      </c>
      <c r="H56" s="177" cm="1">
        <f t="array" ref="H56">(MAX(0,MIN(H40,$D$27)-MAX(G40,$C$27))*C21+MAX(0,MIN(H40,$D$28)-MAX(G40,$C$28))*D21+MAX(0,MIN(H40,$D$29)-MAX(G40,$C$29))*E21+MAX(0,MIN(H40,$D$30)-MAX(G40,$C$30))*F21+MAX(0,MIN(H40,$D$31)-MAX(G40,$C$31))*G21+MAX(0,MIN(H40,$D$32)-MAX(G40,$C$32))*H21)*'Product Catalog'!D10*'Master Dials'!$C$5</f>
        <v>65000000</v>
      </c>
      <c r="I56" s="177" cm="1">
        <f t="array" ref="I56">SUM(C56:H56)</f>
        <v>114585000</v>
      </c>
      <c r="J56" s="121"/>
    </row>
    <row r="57" spans="1:10" ht="21" customHeight="1" x14ac:dyDescent="0.2">
      <c r="A57" s="119"/>
      <c r="B57" s="193" t="str" cm="1">
        <f t="array" ref="B57">"COGS — "&amp;'Product Catalog'!B11</f>
        <v>COGS — Limited Ed.</v>
      </c>
      <c r="C57" s="177" cm="1">
        <f t="array" ref="C57">(MAX(0,MIN(C41,$D$27)-MAX(0,$C$27))*C22+MAX(0,MIN(C41,$D$28)-MAX(0,$C$28))*D22+MAX(0,MIN(C41,$D$29)-MAX(0,$C$29))*E22+MAX(0,MIN(C41,$D$30)-MAX(0,$C$30))*F22+MAX(0,MIN(C41,$D$31)-MAX(0,$C$31))*G22+MAX(0,MIN(C41,$D$32)-MAX(0,$C$32))*H22)*'Product Catalog'!D11*'Master Dials'!$C$5</f>
        <v>0</v>
      </c>
      <c r="D57" s="177" cm="1">
        <f t="array" ref="D57">(MAX(0,MIN(D41,$D$27)-MAX(C41,$C$27))*C22+MAX(0,MIN(D41,$D$28)-MAX(C41,$C$28))*D22+MAX(0,MIN(D41,$D$29)-MAX(C41,$C$29))*E22+MAX(0,MIN(D41,$D$30)-MAX(C41,$C$30))*F22+MAX(0,MIN(D41,$D$31)-MAX(C41,$C$31))*G22+MAX(0,MIN(D41,$D$32)-MAX(C41,$C$32))*H22)*'Product Catalog'!D11*'Master Dials'!$C$5</f>
        <v>0</v>
      </c>
      <c r="E57" s="177" cm="1">
        <f t="array" ref="E57">(MAX(0,MIN(E41,$D$27)-MAX(D41,$C$27))*C22+MAX(0,MIN(E41,$D$28)-MAX(D41,$C$28))*D22+MAX(0,MIN(E41,$D$29)-MAX(D41,$C$29))*E22+MAX(0,MIN(E41,$D$30)-MAX(D41,$C$30))*F22+MAX(0,MIN(E41,$D$31)-MAX(D41,$C$31))*G22+MAX(0,MIN(E41,$D$32)-MAX(D41,$C$32))*H22)*'Product Catalog'!D11*'Master Dials'!$C$5</f>
        <v>0</v>
      </c>
      <c r="F57" s="177" cm="1">
        <f t="array" ref="F57">(MAX(0,MIN(F41,$D$27)-MAX(E41,$C$27))*C22+MAX(0,MIN(F41,$D$28)-MAX(E41,$C$28))*D22+MAX(0,MIN(F41,$D$29)-MAX(E41,$C$29))*E22+MAX(0,MIN(F41,$D$30)-MAX(E41,$C$30))*F22+MAX(0,MIN(F41,$D$31)-MAX(E41,$C$31))*G22+MAX(0,MIN(F41,$D$32)-MAX(E41,$C$32))*H22)*'Product Catalog'!D11*'Master Dials'!$C$5</f>
        <v>0</v>
      </c>
      <c r="G57" s="177" cm="1">
        <f t="array" ref="G57">(MAX(0,MIN(G41,$D$27)-MAX(F41,$C$27))*C22+MAX(0,MIN(G41,$D$28)-MAX(F41,$C$28))*D22+MAX(0,MIN(G41,$D$29)-MAX(F41,$C$29))*E22+MAX(0,MIN(G41,$D$30)-MAX(F41,$C$30))*F22+MAX(0,MIN(G41,$D$31)-MAX(F41,$C$31))*G22+MAX(0,MIN(G41,$D$32)-MAX(F41,$C$32))*H22)*'Product Catalog'!D11*'Master Dials'!$C$5</f>
        <v>0</v>
      </c>
      <c r="H57" s="177" cm="1">
        <f t="array" ref="H57">(MAX(0,MIN(H41,$D$27)-MAX(G41,$C$27))*C22+MAX(0,MIN(H41,$D$28)-MAX(G41,$C$28))*D22+MAX(0,MIN(H41,$D$29)-MAX(G41,$C$29))*E22+MAX(0,MIN(H41,$D$30)-MAX(G41,$C$30))*F22+MAX(0,MIN(H41,$D$31)-MAX(G41,$C$31))*G22+MAX(0,MIN(H41,$D$32)-MAX(G41,$C$32))*H22)*'Product Catalog'!D11*'Master Dials'!$C$5</f>
        <v>4350000</v>
      </c>
      <c r="I57" s="177" cm="1">
        <f t="array" ref="I57">SUM(C57:H57)</f>
        <v>4350000</v>
      </c>
      <c r="J57" s="121"/>
    </row>
    <row r="58" spans="1:10" ht="19.5" customHeight="1" x14ac:dyDescent="0.2">
      <c r="A58" s="195"/>
      <c r="B58" s="196" t="s">
        <v>163</v>
      </c>
      <c r="C58" s="206" cm="1">
        <f t="array" ref="C58">SUM(C52:C57)</f>
        <v>1065788.9475</v>
      </c>
      <c r="D58" s="206" cm="1">
        <f t="array" ref="D58">SUM(D52:D57)</f>
        <v>9992943.0250000004</v>
      </c>
      <c r="E58" s="206" cm="1">
        <f t="array" ref="E58">SUM(E52:E57)</f>
        <v>34228550.5</v>
      </c>
      <c r="F58" s="206" cm="1">
        <f t="array" ref="F58">SUM(F52:F57)</f>
        <v>98331250</v>
      </c>
      <c r="G58" s="206" cm="1">
        <f t="array" ref="G58">SUM(G52:G57)</f>
        <v>161606250</v>
      </c>
      <c r="H58" s="206" cm="1">
        <f t="array" ref="H58">SUM(H52:H57)</f>
        <v>237456250</v>
      </c>
      <c r="I58" s="206" cm="1">
        <f t="array" ref="I58">SUM(I52:I57)</f>
        <v>542681032.47249997</v>
      </c>
      <c r="J58" s="151"/>
    </row>
    <row r="59" spans="1:10" ht="9" customHeight="1" x14ac:dyDescent="0.2">
      <c r="A59" s="119"/>
      <c r="B59" s="191"/>
      <c r="C59" s="191"/>
      <c r="D59" s="191"/>
      <c r="E59" s="191"/>
      <c r="F59" s="191"/>
      <c r="G59" s="191"/>
      <c r="H59" s="191"/>
      <c r="I59" s="121"/>
      <c r="J59" s="121"/>
    </row>
    <row r="60" spans="1:10" ht="19.5" customHeight="1" x14ac:dyDescent="0.2">
      <c r="A60" s="149"/>
      <c r="B60" s="282" t="s">
        <v>164</v>
      </c>
      <c r="C60" s="282"/>
      <c r="D60" s="282"/>
      <c r="E60" s="282"/>
      <c r="F60" s="282"/>
      <c r="G60" s="282"/>
      <c r="H60" s="282"/>
      <c r="I60" s="150"/>
      <c r="J60" s="151"/>
    </row>
    <row r="61" spans="1:10" ht="21" customHeight="1" x14ac:dyDescent="0.2">
      <c r="A61" s="192"/>
      <c r="B61" s="176" t="s">
        <v>37</v>
      </c>
      <c r="C61" s="176" t="s">
        <v>38</v>
      </c>
      <c r="D61" s="176" t="s">
        <v>39</v>
      </c>
      <c r="E61" s="176" t="s">
        <v>40</v>
      </c>
      <c r="F61" s="176" t="s">
        <v>41</v>
      </c>
      <c r="G61" s="176" t="s">
        <v>42</v>
      </c>
      <c r="H61" s="176" t="s">
        <v>43</v>
      </c>
      <c r="I61" s="176" t="s">
        <v>69</v>
      </c>
      <c r="J61" s="283" t="s">
        <v>165</v>
      </c>
    </row>
    <row r="62" spans="1:10" ht="21" customHeight="1" x14ac:dyDescent="0.2">
      <c r="A62" s="119"/>
      <c r="B62" s="154" t="s">
        <v>14</v>
      </c>
      <c r="C62" s="194" cm="1">
        <f t="array" ref="C62">ROUND(C13*'Master Dials'!$C$7,0)</f>
        <v>50</v>
      </c>
      <c r="D62" s="194" cm="1">
        <f t="array" ref="D62">ROUND(D13*'Master Dials'!$C$7,0)</f>
        <v>510</v>
      </c>
      <c r="E62" s="194" cm="1">
        <f t="array" ref="E62">ROUND(E13*'Master Dials'!$C$7,0)</f>
        <v>1700</v>
      </c>
      <c r="F62" s="194" cm="1">
        <f t="array" ref="F62">ROUND(F13*'Master Dials'!$C$7,0)</f>
        <v>4000</v>
      </c>
      <c r="G62" s="194" cm="1">
        <f t="array" ref="G62">ROUND(G13*'Master Dials'!$C$7,0)</f>
        <v>6000</v>
      </c>
      <c r="H62" s="194" cm="1">
        <f t="array" ref="H62">ROUND(H13*'Master Dials'!$C$7,0)</f>
        <v>8050</v>
      </c>
      <c r="I62" s="194" cm="1">
        <f t="array" ref="I62">SUM(C62:H62)</f>
        <v>20310</v>
      </c>
      <c r="J62" s="284"/>
    </row>
    <row r="63" spans="1:10" ht="21" customHeight="1" x14ac:dyDescent="0.2">
      <c r="A63" s="119"/>
      <c r="B63" s="154" t="s">
        <v>166</v>
      </c>
      <c r="C63" s="177" cm="1">
        <f t="array" ref="C63">C51</f>
        <v>1222500</v>
      </c>
      <c r="D63" s="177" cm="1">
        <f t="array" ref="D63">D51</f>
        <v>13075000</v>
      </c>
      <c r="E63" s="177" cm="1">
        <f t="array" ref="E63">E51</f>
        <v>48675000</v>
      </c>
      <c r="F63" s="177" cm="1">
        <f t="array" ref="F63">F51</f>
        <v>146125000</v>
      </c>
      <c r="G63" s="177" cm="1">
        <f t="array" ref="G63">G51</f>
        <v>248625000</v>
      </c>
      <c r="H63" s="177" cm="1">
        <f t="array" ref="H63">H51</f>
        <v>363625000</v>
      </c>
      <c r="I63" s="177" cm="1">
        <f t="array" ref="I63">SUM(C63:H63)</f>
        <v>821347500</v>
      </c>
      <c r="J63" s="121"/>
    </row>
    <row r="64" spans="1:10" ht="19.5" customHeight="1" x14ac:dyDescent="0.2">
      <c r="A64" s="195"/>
      <c r="B64" s="196" t="s">
        <v>167</v>
      </c>
      <c r="C64" s="206" cm="1">
        <f t="array" ref="C64">C58</f>
        <v>1065788.9475</v>
      </c>
      <c r="D64" s="206" cm="1">
        <f t="array" ref="D64">D58</f>
        <v>9992943.0250000004</v>
      </c>
      <c r="E64" s="206" cm="1">
        <f t="array" ref="E64">E58</f>
        <v>34228550.5</v>
      </c>
      <c r="F64" s="206" cm="1">
        <f t="array" ref="F64">F58</f>
        <v>98331250</v>
      </c>
      <c r="G64" s="206" cm="1">
        <f t="array" ref="G64">G58</f>
        <v>161606250</v>
      </c>
      <c r="H64" s="206" cm="1">
        <f t="array" ref="H64">H58</f>
        <v>237456250</v>
      </c>
      <c r="I64" s="206" cm="1">
        <f t="array" ref="I64">SUM(C64:H64)</f>
        <v>542681032.47249997</v>
      </c>
      <c r="J64" s="151"/>
    </row>
    <row r="65" spans="1:10" ht="21" customHeight="1" x14ac:dyDescent="0.2">
      <c r="A65" s="119"/>
      <c r="B65" s="154" t="s">
        <v>168</v>
      </c>
      <c r="C65" s="177" cm="1">
        <f t="array" ref="C65">C63-C64</f>
        <v>156711.05249999999</v>
      </c>
      <c r="D65" s="177" cm="1">
        <f t="array" ref="D65">D63-D64</f>
        <v>3082056.9749999996</v>
      </c>
      <c r="E65" s="177" cm="1">
        <f t="array" ref="E65">E63-E64</f>
        <v>14446449.5</v>
      </c>
      <c r="F65" s="177" cm="1">
        <f t="array" ref="F65">F63-F64</f>
        <v>47793750</v>
      </c>
      <c r="G65" s="177" cm="1">
        <f t="array" ref="G65">G63-G64</f>
        <v>87018750</v>
      </c>
      <c r="H65" s="177" cm="1">
        <f t="array" ref="H65">H63-H64</f>
        <v>126168750</v>
      </c>
      <c r="I65" s="177" cm="1">
        <f t="array" ref="I65">SUM(C65:H65)</f>
        <v>278666467.52750003</v>
      </c>
      <c r="J65" s="121"/>
    </row>
    <row r="66" spans="1:10" ht="21" customHeight="1" x14ac:dyDescent="0.2">
      <c r="A66" s="119"/>
      <c r="B66" s="154" t="s">
        <v>169</v>
      </c>
      <c r="C66" s="177" cm="1">
        <f t="array" ref="C66">IFERROR(C65/C62,0)</f>
        <v>3134.2210499999997</v>
      </c>
      <c r="D66" s="177" cm="1">
        <f t="array" ref="D66">IFERROR(D65/D62,0)</f>
        <v>6043.2489705882344</v>
      </c>
      <c r="E66" s="177" cm="1">
        <f t="array" ref="E66">IFERROR(E65/E62,0)</f>
        <v>8497.9114705882348</v>
      </c>
      <c r="F66" s="177" cm="1">
        <f t="array" ref="F66">IFERROR(F65/F62,0)</f>
        <v>11948.4375</v>
      </c>
      <c r="G66" s="177" cm="1">
        <f t="array" ref="G66">IFERROR(G65/G62,0)</f>
        <v>14503.125</v>
      </c>
      <c r="H66" s="177" cm="1">
        <f t="array" ref="H66">IFERROR(H65/H62,0)</f>
        <v>15673.136645962733</v>
      </c>
      <c r="I66" s="121"/>
      <c r="J66" s="121"/>
    </row>
    <row r="67" spans="1:10" ht="21" customHeight="1" x14ac:dyDescent="0.2">
      <c r="A67" s="119"/>
      <c r="B67" s="154" t="s">
        <v>170</v>
      </c>
      <c r="C67" s="153" cm="1">
        <f t="array" ref="C67">IFERROR(C64/C63,0)</f>
        <v>0.871811</v>
      </c>
      <c r="D67" s="153" cm="1">
        <f t="array" ref="D67">IFERROR(D64/D63,0)</f>
        <v>0.7642786252390058</v>
      </c>
      <c r="E67" s="153" cm="1">
        <f t="array" ref="E67">IFERROR(E64/E63,0)</f>
        <v>0.70320596815613767</v>
      </c>
      <c r="F67" s="153" cm="1">
        <f t="array" ref="F67">IFERROR(F64/F63,0)</f>
        <v>0.67292557741659542</v>
      </c>
      <c r="G67" s="153" cm="1">
        <f t="array" ref="G67">IFERROR(G64/G63,0)</f>
        <v>0.65</v>
      </c>
      <c r="H67" s="153" cm="1">
        <f t="array" ref="H67">IFERROR(H64/H63,0)</f>
        <v>0.65302509453420421</v>
      </c>
      <c r="I67" s="121"/>
      <c r="J67" s="121"/>
    </row>
    <row r="68" spans="1:10" ht="21" customHeight="1" x14ac:dyDescent="0.2">
      <c r="A68" s="119"/>
      <c r="B68" s="154" t="s">
        <v>171</v>
      </c>
      <c r="C68" s="153" cm="1">
        <f t="array" ref="C68">1-IFERROR(C67/1,0)</f>
        <v>0.128189</v>
      </c>
      <c r="D68" s="153" cm="1">
        <f t="array" ref="D68">1-IFERROR(D67/1,0)</f>
        <v>0.2357213747609942</v>
      </c>
      <c r="E68" s="153" cm="1">
        <f t="array" ref="E68">1-IFERROR(E67/1,0)</f>
        <v>0.29679403184386233</v>
      </c>
      <c r="F68" s="153" cm="1">
        <f t="array" ref="F68">1-IFERROR(F67/1,0)</f>
        <v>0.32707442258340458</v>
      </c>
      <c r="G68" s="153" cm="1">
        <f t="array" ref="G68">1-IFERROR(G67/1,0)</f>
        <v>0.35</v>
      </c>
      <c r="H68" s="153" cm="1">
        <f t="array" ref="H68">1-IFERROR(H67/1,0)</f>
        <v>0.34697490546579579</v>
      </c>
      <c r="I68" s="121"/>
      <c r="J68" s="121"/>
    </row>
    <row r="69" spans="1:10" ht="13.5" customHeight="1" x14ac:dyDescent="0.2">
      <c r="A69" s="119"/>
      <c r="B69" s="207"/>
      <c r="C69" s="174"/>
      <c r="D69" s="174"/>
      <c r="E69" s="174"/>
      <c r="F69" s="174"/>
      <c r="G69" s="174"/>
      <c r="H69" s="174"/>
      <c r="I69" s="174"/>
      <c r="J69" s="175"/>
    </row>
    <row r="70" spans="1:10" ht="19.5" customHeight="1" x14ac:dyDescent="0.2">
      <c r="A70" s="119"/>
      <c r="B70" s="208" t="s">
        <v>172</v>
      </c>
      <c r="C70" s="65"/>
      <c r="D70" s="65"/>
      <c r="E70" s="65"/>
      <c r="F70" s="65"/>
      <c r="G70" s="65"/>
      <c r="H70" s="65"/>
      <c r="I70" s="65"/>
      <c r="J70" s="209"/>
    </row>
    <row r="71" spans="1:10" ht="15.75" customHeight="1" x14ac:dyDescent="0.2">
      <c r="A71" s="119"/>
      <c r="B71" s="126" t="s">
        <v>37</v>
      </c>
      <c r="C71" s="127" t="s">
        <v>38</v>
      </c>
      <c r="D71" s="127" t="s">
        <v>39</v>
      </c>
      <c r="E71" s="127" t="s">
        <v>40</v>
      </c>
      <c r="F71" s="127" t="s">
        <v>41</v>
      </c>
      <c r="G71" s="127" t="s">
        <v>42</v>
      </c>
      <c r="H71" s="127" t="s">
        <v>43</v>
      </c>
      <c r="I71" s="127" t="s">
        <v>69</v>
      </c>
      <c r="J71" s="285" t="s">
        <v>173</v>
      </c>
    </row>
    <row r="72" spans="1:10" ht="15" customHeight="1" x14ac:dyDescent="0.2">
      <c r="A72" s="119"/>
      <c r="B72" s="129" t="s">
        <v>174</v>
      </c>
      <c r="C72" s="130" cm="1">
        <f t="array" ref="C72">C13</f>
        <v>50</v>
      </c>
      <c r="D72" s="130" cm="1">
        <f t="array" ref="D72">D13</f>
        <v>510</v>
      </c>
      <c r="E72" s="130" cm="1">
        <f t="array" ref="E72">E13</f>
        <v>1700</v>
      </c>
      <c r="F72" s="130" cm="1">
        <f t="array" ref="F72">F13</f>
        <v>4000</v>
      </c>
      <c r="G72" s="130" cm="1">
        <f t="array" ref="G72">G13</f>
        <v>6000</v>
      </c>
      <c r="H72" s="130" cm="1">
        <f t="array" ref="H72">H13</f>
        <v>8050</v>
      </c>
      <c r="I72" s="130" cm="1">
        <f t="array" ref="I72">SUM(C72:H72)</f>
        <v>20310</v>
      </c>
      <c r="J72" s="286"/>
    </row>
    <row r="73" spans="1:10" ht="15" customHeight="1" x14ac:dyDescent="0.2">
      <c r="A73" s="119"/>
      <c r="B73" s="129" t="s">
        <v>175</v>
      </c>
      <c r="C73" s="130" cm="1">
        <f t="array" ref="C73">IF(1&gt;='Master Dials'!$C$15,C72,0)</f>
        <v>0</v>
      </c>
      <c r="D73" s="130" cm="1">
        <f t="array" ref="D73">C73+IF(2&gt;='Master Dials'!$C$15,D72,0)</f>
        <v>0</v>
      </c>
      <c r="E73" s="130" cm="1">
        <f t="array" ref="E73">D73+IF(3&gt;='Master Dials'!$C$15,E72,0)</f>
        <v>1700</v>
      </c>
      <c r="F73" s="130" cm="1">
        <f t="array" ref="F73">E73+IF(4&gt;='Master Dials'!$C$15,F72,0)</f>
        <v>5700</v>
      </c>
      <c r="G73" s="130" cm="1">
        <f t="array" ref="G73">F73+IF(5&gt;='Master Dials'!$C$15,G72,0)</f>
        <v>11700</v>
      </c>
      <c r="H73" s="130" cm="1">
        <f t="array" ref="H73">G73+IF(6&gt;='Master Dials'!$C$15,H72,0)</f>
        <v>19750</v>
      </c>
      <c r="I73" s="52"/>
      <c r="J73" s="125"/>
    </row>
    <row r="74" spans="1:10" ht="15" customHeight="1" x14ac:dyDescent="0.2">
      <c r="A74" s="119"/>
      <c r="B74" s="129" t="s">
        <v>176</v>
      </c>
      <c r="C74" s="130">
        <v>0</v>
      </c>
      <c r="D74" s="130" cm="1">
        <f t="array" ref="D74">C73</f>
        <v>0</v>
      </c>
      <c r="E74" s="130" cm="1">
        <f t="array" ref="E74">D73</f>
        <v>0</v>
      </c>
      <c r="F74" s="130" cm="1">
        <f t="array" ref="F74">E73</f>
        <v>1700</v>
      </c>
      <c r="G74" s="130" cm="1">
        <f t="array" ref="G74">F73</f>
        <v>5700</v>
      </c>
      <c r="H74" s="130" cm="1">
        <f t="array" ref="H74">G73</f>
        <v>11700</v>
      </c>
      <c r="I74" s="52"/>
      <c r="J74" s="125"/>
    </row>
    <row r="75" spans="1:10" ht="15" customHeight="1" x14ac:dyDescent="0.2">
      <c r="A75" s="119"/>
      <c r="B75" s="129" t="s">
        <v>177</v>
      </c>
      <c r="C75" s="130" cm="1">
        <f t="array" ref="C75">(C73+C74)/2</f>
        <v>0</v>
      </c>
      <c r="D75" s="130" cm="1">
        <f t="array" ref="D75">(D73+D74)/2</f>
        <v>0</v>
      </c>
      <c r="E75" s="130" cm="1">
        <f t="array" ref="E75">(E73+E74)/2</f>
        <v>850</v>
      </c>
      <c r="F75" s="130" cm="1">
        <f t="array" ref="F75">(F73+F74)/2</f>
        <v>3700</v>
      </c>
      <c r="G75" s="130" cm="1">
        <f t="array" ref="G75">(G73+G74)/2</f>
        <v>8700</v>
      </c>
      <c r="H75" s="130" cm="1">
        <f t="array" ref="H75">(H73+H74)/2</f>
        <v>15725</v>
      </c>
      <c r="I75" s="52"/>
      <c r="J75" s="125"/>
    </row>
    <row r="76" spans="1:10" ht="15" customHeight="1" x14ac:dyDescent="0.2">
      <c r="A76" s="119"/>
      <c r="B76" s="129" t="s">
        <v>178</v>
      </c>
      <c r="C76" s="210" cm="1">
        <f t="array" ref="C76">IF(1&lt;'Master Dials'!$C$15,0,IF(1='Master Dials'!$C$15,'Master Dials'!$C$16,1))</f>
        <v>0</v>
      </c>
      <c r="D76" s="210" cm="1">
        <f t="array" ref="D76">IF(2&lt;'Master Dials'!$C$15,0,IF(2='Master Dials'!$C$15,'Master Dials'!$C$16,1))</f>
        <v>0</v>
      </c>
      <c r="E76" s="211" cm="1">
        <f t="array" ref="E76">IF(3&lt;'Master Dials'!$C$15,0,IF(3='Master Dials'!$C$15,'Master Dials'!$C$16,1))</f>
        <v>0.5</v>
      </c>
      <c r="F76" s="210" cm="1">
        <f t="array" ref="F76">IF(4&lt;'Master Dials'!$C$15,0,IF(4='Master Dials'!$C$15,'Master Dials'!$C$16,1))</f>
        <v>1</v>
      </c>
      <c r="G76" s="210" cm="1">
        <f t="array" ref="G76">IF(5&lt;'Master Dials'!$C$15,0,IF(5='Master Dials'!$C$15,'Master Dials'!$C$16,1))</f>
        <v>1</v>
      </c>
      <c r="H76" s="210" cm="1">
        <f t="array" ref="H76">IF(6&lt;'Master Dials'!$C$15,0,IF(6='Master Dials'!$C$15,'Master Dials'!$C$16,1))</f>
        <v>1</v>
      </c>
      <c r="I76" s="52"/>
      <c r="J76" s="125"/>
    </row>
    <row r="77" spans="1:10" ht="19.5" customHeight="1" x14ac:dyDescent="0.2">
      <c r="A77" s="119"/>
      <c r="B77" s="208" t="s">
        <v>179</v>
      </c>
      <c r="C77" s="212" cm="1">
        <f t="array" ref="C77">C75*'Master Dials'!$C$13*12*C76</f>
        <v>0</v>
      </c>
      <c r="D77" s="212" cm="1">
        <f t="array" ref="D77">D75*'Master Dials'!$C$13*12*D76</f>
        <v>0</v>
      </c>
      <c r="E77" s="212" cm="1">
        <f t="array" ref="E77">E75*'Master Dials'!$C$13*12*E76</f>
        <v>382500</v>
      </c>
      <c r="F77" s="212" cm="1">
        <f t="array" ref="F77">F75*'Master Dials'!$C$13*12*F76</f>
        <v>3330000</v>
      </c>
      <c r="G77" s="212" cm="1">
        <f t="array" ref="G77">G75*'Master Dials'!$C$13*12*G76</f>
        <v>7830000</v>
      </c>
      <c r="H77" s="212" cm="1">
        <f t="array" ref="H77">H75*'Master Dials'!$C$13*12*H76</f>
        <v>14152500</v>
      </c>
      <c r="I77" s="212" cm="1">
        <f t="array" ref="I77">SUM(C77:H77)</f>
        <v>25695000</v>
      </c>
      <c r="J77" s="209"/>
    </row>
    <row r="78" spans="1:10" ht="15" customHeight="1" x14ac:dyDescent="0.2">
      <c r="A78" s="119"/>
      <c r="B78" s="129" t="s">
        <v>180</v>
      </c>
      <c r="C78" s="213" cm="1">
        <f t="array" ref="C78">C77*'Master Dials'!$C$14</f>
        <v>0</v>
      </c>
      <c r="D78" s="213" cm="1">
        <f t="array" ref="D78">D77*'Master Dials'!$C$14</f>
        <v>0</v>
      </c>
      <c r="E78" s="213" cm="1">
        <f t="array" ref="E78">E77*'Master Dials'!$C$14</f>
        <v>57375</v>
      </c>
      <c r="F78" s="213" cm="1">
        <f t="array" ref="F78">F77*'Master Dials'!$C$14</f>
        <v>499500</v>
      </c>
      <c r="G78" s="213" cm="1">
        <f t="array" ref="G78">G77*'Master Dials'!$C$14</f>
        <v>1174500</v>
      </c>
      <c r="H78" s="213" cm="1">
        <f t="array" ref="H78">H77*'Master Dials'!$C$14</f>
        <v>2122875</v>
      </c>
      <c r="I78" s="213" cm="1">
        <f t="array" ref="I78">SUM(C78:H78)</f>
        <v>3854250</v>
      </c>
      <c r="J78" s="125"/>
    </row>
    <row r="79" spans="1:10" ht="15" customHeight="1" x14ac:dyDescent="0.2">
      <c r="A79" s="119"/>
      <c r="B79" s="129" t="s">
        <v>181</v>
      </c>
      <c r="C79" s="213" cm="1">
        <f t="array" ref="C79">C77-C78</f>
        <v>0</v>
      </c>
      <c r="D79" s="213" cm="1">
        <f t="array" ref="D79">D77-D78</f>
        <v>0</v>
      </c>
      <c r="E79" s="213" cm="1">
        <f t="array" ref="E79">E77-E78</f>
        <v>325125</v>
      </c>
      <c r="F79" s="213" cm="1">
        <f t="array" ref="F79">F77-F78</f>
        <v>2830500</v>
      </c>
      <c r="G79" s="213" cm="1">
        <f t="array" ref="G79">G77-G78</f>
        <v>6655500</v>
      </c>
      <c r="H79" s="213" cm="1">
        <f t="array" ref="H79">H77-H78</f>
        <v>12029625</v>
      </c>
      <c r="I79" s="213" cm="1">
        <f t="array" ref="I79">SUM(C79:H79)</f>
        <v>21840750</v>
      </c>
      <c r="J79" s="125"/>
    </row>
    <row r="80" spans="1:10" ht="15" customHeight="1" x14ac:dyDescent="0.2">
      <c r="A80" s="142"/>
      <c r="B80" s="214" t="s">
        <v>83</v>
      </c>
      <c r="C80" s="215" cm="1">
        <f t="array" ref="C80">IF(1&lt;'Master Dials'!$C$15,0,C73*'Master Dials'!$C$13*12)</f>
        <v>0</v>
      </c>
      <c r="D80" s="215" cm="1">
        <f t="array" ref="D80">IF(2&lt;'Master Dials'!$C$15,0,D73*'Master Dials'!$C$13*12)</f>
        <v>0</v>
      </c>
      <c r="E80" s="215" cm="1">
        <f t="array" ref="E80">IF(3&lt;'Master Dials'!$C$15,0,E73*'Master Dials'!$C$13*12)</f>
        <v>1530000</v>
      </c>
      <c r="F80" s="215" cm="1">
        <f t="array" ref="F80">IF(4&lt;'Master Dials'!$C$15,0,F73*'Master Dials'!$C$13*12)</f>
        <v>5130000</v>
      </c>
      <c r="G80" s="215" cm="1">
        <f t="array" ref="G80">IF(5&lt;'Master Dials'!$C$15,0,G73*'Master Dials'!$C$13*12)</f>
        <v>10530000</v>
      </c>
      <c r="H80" s="215" cm="1">
        <f t="array" ref="H80">IF(6&lt;'Master Dials'!$C$15,0,H73*'Master Dials'!$C$13*12)</f>
        <v>17775000</v>
      </c>
      <c r="I80" s="216"/>
      <c r="J80" s="217"/>
    </row>
  </sheetData>
  <mergeCells count="10">
    <mergeCell ref="J61:J62"/>
    <mergeCell ref="J44:J45"/>
    <mergeCell ref="J35:J36"/>
    <mergeCell ref="J6:J7"/>
    <mergeCell ref="J71:J72"/>
    <mergeCell ref="B60:H60"/>
    <mergeCell ref="B5:H5"/>
    <mergeCell ref="B15:H15"/>
    <mergeCell ref="B43:H43"/>
    <mergeCell ref="J16:J17"/>
  </mergeCells>
  <pageMargins left="0.75" right="0.75" top="1" bottom="1" header="0.51181100000000002" footer="0.51180599999999998"/>
  <pageSetup orientation="landscape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69"/>
  <sheetViews>
    <sheetView showGridLines="0" tabSelected="1" workbookViewId="0"/>
  </sheetViews>
  <sheetFormatPr baseColWidth="10" defaultColWidth="8.6640625" defaultRowHeight="15" customHeight="1" x14ac:dyDescent="0.2"/>
  <cols>
    <col min="1" max="1" width="1.6640625" style="1" customWidth="1"/>
    <col min="2" max="2" width="32" style="1" customWidth="1"/>
    <col min="3" max="3" width="44.6640625" style="1" customWidth="1"/>
    <col min="4" max="4" width="12" style="1" customWidth="1"/>
    <col min="5" max="5" width="8" style="1" customWidth="1"/>
    <col min="6" max="6" width="12" style="1" customWidth="1"/>
    <col min="7" max="13" width="14.5" style="1" customWidth="1"/>
    <col min="14" max="14" width="8.6640625" style="1" customWidth="1"/>
    <col min="15" max="16384" width="8.6640625" style="1"/>
  </cols>
  <sheetData>
    <row r="1" spans="1:13" ht="8.5" customHeight="1" x14ac:dyDescent="0.2">
      <c r="A1" s="184"/>
      <c r="B1" s="185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7"/>
    </row>
    <row r="2" spans="1:13" ht="24" customHeight="1" x14ac:dyDescent="0.2">
      <c r="A2" s="146"/>
      <c r="B2" s="218" t="s">
        <v>182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90"/>
    </row>
    <row r="3" spans="1:13" ht="24" customHeight="1" x14ac:dyDescent="0.2">
      <c r="A3" s="119"/>
      <c r="B3" s="120" t="s">
        <v>183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24" customHeight="1" x14ac:dyDescent="0.2">
      <c r="A4" s="119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3" ht="24" customHeight="1" x14ac:dyDescent="0.2">
      <c r="A5" s="119"/>
      <c r="B5" s="176" t="s">
        <v>184</v>
      </c>
      <c r="C5" s="176" t="s">
        <v>185</v>
      </c>
      <c r="D5" s="176" t="s">
        <v>186</v>
      </c>
      <c r="E5" s="176" t="s">
        <v>187</v>
      </c>
      <c r="F5" s="176" t="s">
        <v>188</v>
      </c>
      <c r="G5" s="176" t="s">
        <v>189</v>
      </c>
      <c r="H5" s="176" t="s">
        <v>190</v>
      </c>
      <c r="I5" s="176" t="s">
        <v>191</v>
      </c>
      <c r="J5" s="176" t="s">
        <v>192</v>
      </c>
      <c r="K5" s="176" t="s">
        <v>193</v>
      </c>
      <c r="L5" s="176" t="s">
        <v>194</v>
      </c>
      <c r="M5" s="176" t="s">
        <v>69</v>
      </c>
    </row>
    <row r="6" spans="1:13" ht="24" customHeight="1" x14ac:dyDescent="0.2">
      <c r="A6" s="119"/>
      <c r="B6" s="154" t="s">
        <v>195</v>
      </c>
      <c r="C6" s="154" t="s">
        <v>196</v>
      </c>
      <c r="D6" s="177">
        <v>100000</v>
      </c>
      <c r="E6" s="194">
        <v>1</v>
      </c>
      <c r="F6" s="155">
        <v>1</v>
      </c>
      <c r="G6" s="177" cm="1">
        <f t="array" ref="G6">D6*E6*MAX(0,12-MAX(0,F6-1))/12</f>
        <v>100000</v>
      </c>
      <c r="H6" s="177" cm="1">
        <f t="array" ref="H6">D6*E6*MAX(0,24-MAX(12,F6-1))/12</f>
        <v>100000</v>
      </c>
      <c r="I6" s="177" cm="1">
        <f t="array" ref="I6">D6*E6*MAX(0,36-MAX(24,F6-1))/12</f>
        <v>100000</v>
      </c>
      <c r="J6" s="177" cm="1">
        <f t="array" ref="J6">D6*E6*MAX(0,48-MAX(36,F6-1))/12</f>
        <v>100000</v>
      </c>
      <c r="K6" s="177" cm="1">
        <f t="array" ref="K6">D6*E6*MAX(0,60-MAX(48,F6-1))/12</f>
        <v>100000</v>
      </c>
      <c r="L6" s="177" cm="1">
        <f t="array" ref="L6">D6*E6*MAX(0,72-MAX(60,F6-1))/12</f>
        <v>100000</v>
      </c>
      <c r="M6" s="177" cm="1">
        <f t="array" ref="M6">SUM(G6:L6)</f>
        <v>600000</v>
      </c>
    </row>
    <row r="7" spans="1:13" ht="24" customHeight="1" x14ac:dyDescent="0.2">
      <c r="A7" s="119"/>
      <c r="B7" s="154" t="s">
        <v>197</v>
      </c>
      <c r="C7" s="154" t="s">
        <v>196</v>
      </c>
      <c r="D7" s="177">
        <v>100000</v>
      </c>
      <c r="E7" s="194">
        <v>1</v>
      </c>
      <c r="F7" s="155">
        <v>1</v>
      </c>
      <c r="G7" s="177" cm="1">
        <f t="array" ref="G7">D7*E7*MAX(0,12-MAX(0,F7-1))/12</f>
        <v>100000</v>
      </c>
      <c r="H7" s="177" cm="1">
        <f t="array" ref="H7">D7*E7*MAX(0,24-MAX(12,F7-1))/12</f>
        <v>100000</v>
      </c>
      <c r="I7" s="177" cm="1">
        <f t="array" ref="I7">D7*E7*MAX(0,36-MAX(24,F7-1))/12</f>
        <v>100000</v>
      </c>
      <c r="J7" s="177" cm="1">
        <f t="array" ref="J7">D7*E7*MAX(0,48-MAX(36,F7-1))/12</f>
        <v>100000</v>
      </c>
      <c r="K7" s="177" cm="1">
        <f t="array" ref="K7">D7*E7*MAX(0,60-MAX(48,F7-1))/12</f>
        <v>100000</v>
      </c>
      <c r="L7" s="177" cm="1">
        <f t="array" ref="L7">D7*E7*MAX(0,72-MAX(60,F7-1))/12</f>
        <v>100000</v>
      </c>
      <c r="M7" s="177" cm="1">
        <f t="array" ref="M7">SUM(G7:L7)</f>
        <v>600000</v>
      </c>
    </row>
    <row r="8" spans="1:13" ht="24" customHeight="1" x14ac:dyDescent="0.2">
      <c r="A8" s="119"/>
      <c r="B8" s="154" t="s">
        <v>198</v>
      </c>
      <c r="C8" s="154" t="s">
        <v>196</v>
      </c>
      <c r="D8" s="177">
        <v>70000</v>
      </c>
      <c r="E8" s="194">
        <v>1</v>
      </c>
      <c r="F8" s="155">
        <v>3</v>
      </c>
      <c r="G8" s="177" cm="1">
        <f t="array" ref="G8">D8*E8*MAX(0,12-MAX(0,F8-1))/12</f>
        <v>58333.333333333336</v>
      </c>
      <c r="H8" s="177" cm="1">
        <f t="array" ref="H8">D8*E8*MAX(0,24-MAX(12,F8-1))/12</f>
        <v>70000</v>
      </c>
      <c r="I8" s="177" cm="1">
        <f t="array" ref="I8">D8*E8*MAX(0,36-MAX(24,F8-1))/12</f>
        <v>70000</v>
      </c>
      <c r="J8" s="177" cm="1">
        <f t="array" ref="J8">D8*E8*MAX(0,48-MAX(36,F8-1))/12</f>
        <v>70000</v>
      </c>
      <c r="K8" s="177" cm="1">
        <f t="array" ref="K8">D8*E8*MAX(0,60-MAX(48,F8-1))/12</f>
        <v>70000</v>
      </c>
      <c r="L8" s="177" cm="1">
        <f t="array" ref="L8">D8*E8*MAX(0,72-MAX(60,F8-1))/12</f>
        <v>70000</v>
      </c>
      <c r="M8" s="177" cm="1">
        <f t="array" ref="M8">SUM(G8:L8)</f>
        <v>408333.33333333337</v>
      </c>
    </row>
    <row r="9" spans="1:13" ht="24" customHeight="1" x14ac:dyDescent="0.2">
      <c r="A9" s="119"/>
      <c r="B9" s="154" t="s">
        <v>199</v>
      </c>
      <c r="C9" s="154" t="s">
        <v>196</v>
      </c>
      <c r="D9" s="177">
        <v>100000</v>
      </c>
      <c r="E9" s="194">
        <v>1</v>
      </c>
      <c r="F9" s="155">
        <v>1</v>
      </c>
      <c r="G9" s="177" cm="1">
        <f t="array" ref="G9">D9*E9*MAX(0,12-MAX(0,F9-1))/12</f>
        <v>100000</v>
      </c>
      <c r="H9" s="177" cm="1">
        <f t="array" ref="H9">D9*E9*MAX(0,24-MAX(12,F9-1))/12</f>
        <v>100000</v>
      </c>
      <c r="I9" s="177" cm="1">
        <f t="array" ref="I9">D9*E9*MAX(0,36-MAX(24,F9-1))/12</f>
        <v>100000</v>
      </c>
      <c r="J9" s="177" cm="1">
        <f t="array" ref="J9">D9*E9*MAX(0,48-MAX(36,F9-1))/12</f>
        <v>100000</v>
      </c>
      <c r="K9" s="177" cm="1">
        <f t="array" ref="K9">D9*E9*MAX(0,60-MAX(48,F9-1))/12</f>
        <v>100000</v>
      </c>
      <c r="L9" s="177" cm="1">
        <f t="array" ref="L9">D9*E9*MAX(0,72-MAX(60,F9-1))/12</f>
        <v>100000</v>
      </c>
      <c r="M9" s="177" cm="1">
        <f t="array" ref="M9">SUM(G9:L9)</f>
        <v>600000</v>
      </c>
    </row>
    <row r="10" spans="1:13" ht="24" customHeight="1" x14ac:dyDescent="0.2">
      <c r="A10" s="119"/>
      <c r="B10" s="154" t="s">
        <v>200</v>
      </c>
      <c r="C10" s="154" t="s">
        <v>196</v>
      </c>
      <c r="D10" s="177">
        <v>45000</v>
      </c>
      <c r="E10" s="194">
        <v>1</v>
      </c>
      <c r="F10" s="155">
        <v>1</v>
      </c>
      <c r="G10" s="177" cm="1">
        <f t="array" ref="G10">D10*E10*MAX(0,12-MAX(0,F10-1))/12</f>
        <v>45000</v>
      </c>
      <c r="H10" s="177" cm="1">
        <f t="array" ref="H10">D10*E10*MAX(0,24-MAX(12,F10-1))/12</f>
        <v>45000</v>
      </c>
      <c r="I10" s="177" cm="1">
        <f t="array" ref="I10">D10*E10*MAX(0,36-MAX(24,F10-1))/12</f>
        <v>45000</v>
      </c>
      <c r="J10" s="177" cm="1">
        <f t="array" ref="J10">D10*E10*MAX(0,48-MAX(36,F10-1))/12</f>
        <v>45000</v>
      </c>
      <c r="K10" s="177" cm="1">
        <f t="array" ref="K10">D10*E10*MAX(0,60-MAX(48,F10-1))/12</f>
        <v>45000</v>
      </c>
      <c r="L10" s="177" cm="1">
        <f t="array" ref="L10">D10*E10*MAX(0,72-MAX(60,F10-1))/12</f>
        <v>45000</v>
      </c>
      <c r="M10" s="177" cm="1">
        <f t="array" ref="M10">SUM(G10:L10)</f>
        <v>270000</v>
      </c>
    </row>
    <row r="11" spans="1:13" ht="24" customHeight="1" x14ac:dyDescent="0.2">
      <c r="A11" s="119"/>
      <c r="B11" s="154" t="s">
        <v>201</v>
      </c>
      <c r="C11" s="154" t="s">
        <v>202</v>
      </c>
      <c r="D11" s="177">
        <v>170000</v>
      </c>
      <c r="E11" s="194">
        <v>1</v>
      </c>
      <c r="F11" s="155">
        <v>1</v>
      </c>
      <c r="G11" s="177" cm="1">
        <f t="array" ref="G11">D11*E11*MAX(0,12-MAX(0,F11-1))/12</f>
        <v>170000</v>
      </c>
      <c r="H11" s="177" cm="1">
        <f t="array" ref="H11">D11*E11*MAX(0,24-MAX(12,F11-1))/12</f>
        <v>170000</v>
      </c>
      <c r="I11" s="177" cm="1">
        <f t="array" ref="I11">D11*E11*MAX(0,36-MAX(24,F11-1))/12</f>
        <v>170000</v>
      </c>
      <c r="J11" s="177" cm="1">
        <f t="array" ref="J11">D11*E11*MAX(0,48-MAX(36,F11-1))/12</f>
        <v>170000</v>
      </c>
      <c r="K11" s="177" cm="1">
        <f t="array" ref="K11">D11*E11*MAX(0,60-MAX(48,F11-1))/12</f>
        <v>170000</v>
      </c>
      <c r="L11" s="177" cm="1">
        <f t="array" ref="L11">D11*E11*MAX(0,72-MAX(60,F11-1))/12</f>
        <v>170000</v>
      </c>
      <c r="M11" s="177" cm="1">
        <f t="array" ref="M11">SUM(G11:L11)</f>
        <v>1020000</v>
      </c>
    </row>
    <row r="12" spans="1:13" ht="24" customHeight="1" x14ac:dyDescent="0.2">
      <c r="A12" s="119"/>
      <c r="B12" s="154" t="s">
        <v>203</v>
      </c>
      <c r="C12" s="154" t="s">
        <v>202</v>
      </c>
      <c r="D12" s="177">
        <v>170000</v>
      </c>
      <c r="E12" s="194">
        <v>1</v>
      </c>
      <c r="F12" s="155">
        <v>1</v>
      </c>
      <c r="G12" s="177" cm="1">
        <f t="array" ref="G12">D12*E12*MAX(0,12-MAX(0,F12-1))/12</f>
        <v>170000</v>
      </c>
      <c r="H12" s="177" cm="1">
        <f t="array" ref="H12">D12*E12*MAX(0,24-MAX(12,F12-1))/12</f>
        <v>170000</v>
      </c>
      <c r="I12" s="177" cm="1">
        <f t="array" ref="I12">D12*E12*MAX(0,36-MAX(24,F12-1))/12</f>
        <v>170000</v>
      </c>
      <c r="J12" s="177" cm="1">
        <f t="array" ref="J12">D12*E12*MAX(0,48-MAX(36,F12-1))/12</f>
        <v>170000</v>
      </c>
      <c r="K12" s="177" cm="1">
        <f t="array" ref="K12">D12*E12*MAX(0,60-MAX(48,F12-1))/12</f>
        <v>170000</v>
      </c>
      <c r="L12" s="177" cm="1">
        <f t="array" ref="L12">D12*E12*MAX(0,72-MAX(60,F12-1))/12</f>
        <v>170000</v>
      </c>
      <c r="M12" s="177" cm="1">
        <f t="array" ref="M12">SUM(G12:L12)</f>
        <v>1020000</v>
      </c>
    </row>
    <row r="13" spans="1:13" ht="24" customHeight="1" x14ac:dyDescent="0.2">
      <c r="A13" s="119"/>
      <c r="B13" s="154" t="s">
        <v>204</v>
      </c>
      <c r="C13" s="154" t="s">
        <v>202</v>
      </c>
      <c r="D13" s="177">
        <v>160000</v>
      </c>
      <c r="E13" s="194">
        <v>1</v>
      </c>
      <c r="F13" s="155">
        <v>1</v>
      </c>
      <c r="G13" s="177" cm="1">
        <f t="array" ref="G13">D13*E13*MAX(0,12-MAX(0,F13-1))/12</f>
        <v>160000</v>
      </c>
      <c r="H13" s="177" cm="1">
        <f t="array" ref="H13">D13*E13*MAX(0,24-MAX(12,F13-1))/12</f>
        <v>160000</v>
      </c>
      <c r="I13" s="177" cm="1">
        <f t="array" ref="I13">D13*E13*MAX(0,36-MAX(24,F13-1))/12</f>
        <v>160000</v>
      </c>
      <c r="J13" s="177" cm="1">
        <f t="array" ref="J13">D13*E13*MAX(0,48-MAX(36,F13-1))/12</f>
        <v>160000</v>
      </c>
      <c r="K13" s="177" cm="1">
        <f t="array" ref="K13">D13*E13*MAX(0,60-MAX(48,F13-1))/12</f>
        <v>160000</v>
      </c>
      <c r="L13" s="177" cm="1">
        <f t="array" ref="L13">D13*E13*MAX(0,72-MAX(60,F13-1))/12</f>
        <v>160000</v>
      </c>
      <c r="M13" s="177" cm="1">
        <f t="array" ref="M13">SUM(G13:L13)</f>
        <v>960000</v>
      </c>
    </row>
    <row r="14" spans="1:13" ht="24" customHeight="1" x14ac:dyDescent="0.2">
      <c r="A14" s="119"/>
      <c r="B14" s="154" t="s">
        <v>205</v>
      </c>
      <c r="C14" s="154" t="s">
        <v>206</v>
      </c>
      <c r="D14" s="177">
        <v>70000</v>
      </c>
      <c r="E14" s="194">
        <v>1</v>
      </c>
      <c r="F14" s="155">
        <v>6</v>
      </c>
      <c r="G14" s="177" cm="1">
        <f t="array" ref="G14">D14*E14*MAX(0,12-MAX(0,F14-1))/12</f>
        <v>40833.333333333336</v>
      </c>
      <c r="H14" s="177" cm="1">
        <f t="array" ref="H14">D14*E14*MAX(0,24-MAX(12,F14-1))/12</f>
        <v>70000</v>
      </c>
      <c r="I14" s="177" cm="1">
        <f t="array" ref="I14">D14*E14*MAX(0,36-MAX(24,F14-1))/12</f>
        <v>70000</v>
      </c>
      <c r="J14" s="177" cm="1">
        <f t="array" ref="J14">D14*E14*MAX(0,48-MAX(36,F14-1))/12</f>
        <v>70000</v>
      </c>
      <c r="K14" s="177" cm="1">
        <f t="array" ref="K14">D14*E14*MAX(0,60-MAX(48,F14-1))/12</f>
        <v>70000</v>
      </c>
      <c r="L14" s="177" cm="1">
        <f t="array" ref="L14">D14*E14*MAX(0,72-MAX(60,F14-1))/12</f>
        <v>70000</v>
      </c>
      <c r="M14" s="177" cm="1">
        <f t="array" ref="M14">SUM(G14:L14)</f>
        <v>390833.33333333337</v>
      </c>
    </row>
    <row r="15" spans="1:13" ht="24" customHeight="1" x14ac:dyDescent="0.2">
      <c r="A15" s="119"/>
      <c r="B15" s="154" t="s">
        <v>207</v>
      </c>
      <c r="C15" s="154" t="s">
        <v>206</v>
      </c>
      <c r="D15" s="177">
        <v>70000</v>
      </c>
      <c r="E15" s="194">
        <v>1</v>
      </c>
      <c r="F15" s="155">
        <v>13</v>
      </c>
      <c r="G15" s="177" cm="1">
        <f t="array" ref="G15">D15*E15*MAX(0,12-MAX(0,F15-1))/12</f>
        <v>0</v>
      </c>
      <c r="H15" s="177" cm="1">
        <f t="array" ref="H15">D15*E15*MAX(0,24-MAX(12,F15-1))/12</f>
        <v>70000</v>
      </c>
      <c r="I15" s="177" cm="1">
        <f t="array" ref="I15">D15*E15*MAX(0,36-MAX(24,F15-1))/12</f>
        <v>70000</v>
      </c>
      <c r="J15" s="177" cm="1">
        <f t="array" ref="J15">D15*E15*MAX(0,48-MAX(36,F15-1))/12</f>
        <v>70000</v>
      </c>
      <c r="K15" s="177" cm="1">
        <f t="array" ref="K15">D15*E15*MAX(0,60-MAX(48,F15-1))/12</f>
        <v>70000</v>
      </c>
      <c r="L15" s="177" cm="1">
        <f t="array" ref="L15">D15*E15*MAX(0,72-MAX(60,F15-1))/12</f>
        <v>70000</v>
      </c>
      <c r="M15" s="177" cm="1">
        <f t="array" ref="M15">SUM(G15:L15)</f>
        <v>350000</v>
      </c>
    </row>
    <row r="16" spans="1:13" ht="24" customHeight="1" x14ac:dyDescent="0.2">
      <c r="A16" s="119"/>
      <c r="B16" s="154" t="s">
        <v>208</v>
      </c>
      <c r="C16" s="154" t="s">
        <v>206</v>
      </c>
      <c r="D16" s="177">
        <v>70000</v>
      </c>
      <c r="E16" s="194">
        <v>1</v>
      </c>
      <c r="F16" s="155">
        <v>6</v>
      </c>
      <c r="G16" s="177" cm="1">
        <f t="array" ref="G16">D16*E16*MAX(0,12-MAX(0,F16-1))/12</f>
        <v>40833.333333333336</v>
      </c>
      <c r="H16" s="177" cm="1">
        <f t="array" ref="H16">D16*E16*MAX(0,24-MAX(12,F16-1))/12</f>
        <v>70000</v>
      </c>
      <c r="I16" s="177" cm="1">
        <f t="array" ref="I16">D16*E16*MAX(0,36-MAX(24,F16-1))/12</f>
        <v>70000</v>
      </c>
      <c r="J16" s="177" cm="1">
        <f t="array" ref="J16">D16*E16*MAX(0,48-MAX(36,F16-1))/12</f>
        <v>70000</v>
      </c>
      <c r="K16" s="177" cm="1">
        <f t="array" ref="K16">D16*E16*MAX(0,60-MAX(48,F16-1))/12</f>
        <v>70000</v>
      </c>
      <c r="L16" s="177" cm="1">
        <f t="array" ref="L16">D16*E16*MAX(0,72-MAX(60,F16-1))/12</f>
        <v>70000</v>
      </c>
      <c r="M16" s="177" cm="1">
        <f t="array" ref="M16">SUM(G16:L16)</f>
        <v>390833.33333333337</v>
      </c>
    </row>
    <row r="17" spans="1:13" ht="24" customHeight="1" x14ac:dyDescent="0.2">
      <c r="A17" s="119"/>
      <c r="B17" s="154" t="s">
        <v>209</v>
      </c>
      <c r="C17" s="154" t="s">
        <v>206</v>
      </c>
      <c r="D17" s="177">
        <v>70000</v>
      </c>
      <c r="E17" s="194">
        <v>1</v>
      </c>
      <c r="F17" s="155">
        <v>13</v>
      </c>
      <c r="G17" s="177" cm="1">
        <f t="array" ref="G17">D17*E17*MAX(0,12-MAX(0,F17-1))/12</f>
        <v>0</v>
      </c>
      <c r="H17" s="177" cm="1">
        <f t="array" ref="H17">D17*E17*MAX(0,24-MAX(12,F17-1))/12</f>
        <v>70000</v>
      </c>
      <c r="I17" s="177" cm="1">
        <f t="array" ref="I17">D17*E17*MAX(0,36-MAX(24,F17-1))/12</f>
        <v>70000</v>
      </c>
      <c r="J17" s="177" cm="1">
        <f t="array" ref="J17">D17*E17*MAX(0,48-MAX(36,F17-1))/12</f>
        <v>70000</v>
      </c>
      <c r="K17" s="177" cm="1">
        <f t="array" ref="K17">D17*E17*MAX(0,60-MAX(48,F17-1))/12</f>
        <v>70000</v>
      </c>
      <c r="L17" s="177" cm="1">
        <f t="array" ref="L17">D17*E17*MAX(0,72-MAX(60,F17-1))/12</f>
        <v>70000</v>
      </c>
      <c r="M17" s="177" cm="1">
        <f t="array" ref="M17">SUM(G17:L17)</f>
        <v>350000</v>
      </c>
    </row>
    <row r="18" spans="1:13" ht="24" customHeight="1" x14ac:dyDescent="0.2">
      <c r="A18" s="119"/>
      <c r="B18" s="154" t="s">
        <v>210</v>
      </c>
      <c r="C18" s="154" t="s">
        <v>206</v>
      </c>
      <c r="D18" s="177">
        <v>70000</v>
      </c>
      <c r="E18" s="194">
        <v>1</v>
      </c>
      <c r="F18" s="155">
        <v>13</v>
      </c>
      <c r="G18" s="177" cm="1">
        <f t="array" ref="G18">D18*E18*MAX(0,12-MAX(0,F18-1))/12</f>
        <v>0</v>
      </c>
      <c r="H18" s="177" cm="1">
        <f t="array" ref="H18">D18*E18*MAX(0,24-MAX(12,F18-1))/12</f>
        <v>70000</v>
      </c>
      <c r="I18" s="177" cm="1">
        <f t="array" ref="I18">D18*E18*MAX(0,36-MAX(24,F18-1))/12</f>
        <v>70000</v>
      </c>
      <c r="J18" s="177" cm="1">
        <f t="array" ref="J18">D18*E18*MAX(0,48-MAX(36,F18-1))/12</f>
        <v>70000</v>
      </c>
      <c r="K18" s="177" cm="1">
        <f t="array" ref="K18">D18*E18*MAX(0,60-MAX(48,F18-1))/12</f>
        <v>70000</v>
      </c>
      <c r="L18" s="177" cm="1">
        <f t="array" ref="L18">D18*E18*MAX(0,72-MAX(60,F18-1))/12</f>
        <v>70000</v>
      </c>
      <c r="M18" s="177" cm="1">
        <f t="array" ref="M18">SUM(G18:L18)</f>
        <v>350000</v>
      </c>
    </row>
    <row r="19" spans="1:13" ht="24" customHeight="1" x14ac:dyDescent="0.2">
      <c r="A19" s="119"/>
      <c r="B19" s="154" t="s">
        <v>211</v>
      </c>
      <c r="C19" s="154" t="s">
        <v>206</v>
      </c>
      <c r="D19" s="177">
        <v>70000</v>
      </c>
      <c r="E19" s="194">
        <v>1</v>
      </c>
      <c r="F19" s="155">
        <v>6</v>
      </c>
      <c r="G19" s="177" cm="1">
        <f t="array" ref="G19">D19*E19*MAX(0,12-MAX(0,F19-1))/12</f>
        <v>40833.333333333336</v>
      </c>
      <c r="H19" s="177" cm="1">
        <f t="array" ref="H19">D19*E19*MAX(0,24-MAX(12,F19-1))/12</f>
        <v>70000</v>
      </c>
      <c r="I19" s="177" cm="1">
        <f t="array" ref="I19">D19*E19*MAX(0,36-MAX(24,F19-1))/12</f>
        <v>70000</v>
      </c>
      <c r="J19" s="177" cm="1">
        <f t="array" ref="J19">D19*E19*MAX(0,48-MAX(36,F19-1))/12</f>
        <v>70000</v>
      </c>
      <c r="K19" s="177" cm="1">
        <f t="array" ref="K19">D19*E19*MAX(0,60-MAX(48,F19-1))/12</f>
        <v>70000</v>
      </c>
      <c r="L19" s="177" cm="1">
        <f t="array" ref="L19">D19*E19*MAX(0,72-MAX(60,F19-1))/12</f>
        <v>70000</v>
      </c>
      <c r="M19" s="177" cm="1">
        <f t="array" ref="M19">SUM(G19:L19)</f>
        <v>390833.33333333337</v>
      </c>
    </row>
    <row r="20" spans="1:13" ht="24" customHeight="1" x14ac:dyDescent="0.2">
      <c r="A20" s="119"/>
      <c r="B20" s="154" t="s">
        <v>212</v>
      </c>
      <c r="C20" s="154" t="s">
        <v>206</v>
      </c>
      <c r="D20" s="177">
        <v>70000</v>
      </c>
      <c r="E20" s="194">
        <v>1</v>
      </c>
      <c r="F20" s="155">
        <v>13</v>
      </c>
      <c r="G20" s="177" cm="1">
        <f t="array" ref="G20">D20*E20*MAX(0,12-MAX(0,F20-1))/12</f>
        <v>0</v>
      </c>
      <c r="H20" s="177" cm="1">
        <f t="array" ref="H20">D20*E20*MAX(0,24-MAX(12,F20-1))/12</f>
        <v>70000</v>
      </c>
      <c r="I20" s="177" cm="1">
        <f t="array" ref="I20">D20*E20*MAX(0,36-MAX(24,F20-1))/12</f>
        <v>70000</v>
      </c>
      <c r="J20" s="177" cm="1">
        <f t="array" ref="J20">D20*E20*MAX(0,48-MAX(36,F20-1))/12</f>
        <v>70000</v>
      </c>
      <c r="K20" s="177" cm="1">
        <f t="array" ref="K20">D20*E20*MAX(0,60-MAX(48,F20-1))/12</f>
        <v>70000</v>
      </c>
      <c r="L20" s="177" cm="1">
        <f t="array" ref="L20">D20*E20*MAX(0,72-MAX(60,F20-1))/12</f>
        <v>70000</v>
      </c>
      <c r="M20" s="177" cm="1">
        <f t="array" ref="M20">SUM(G20:L20)</f>
        <v>350000</v>
      </c>
    </row>
    <row r="21" spans="1:13" ht="24" customHeight="1" x14ac:dyDescent="0.2">
      <c r="A21" s="119"/>
      <c r="B21" s="154" t="s">
        <v>213</v>
      </c>
      <c r="C21" s="154" t="s">
        <v>214</v>
      </c>
      <c r="D21" s="177">
        <v>60000</v>
      </c>
      <c r="E21" s="194">
        <v>1</v>
      </c>
      <c r="F21" s="155">
        <v>13</v>
      </c>
      <c r="G21" s="177" cm="1">
        <f t="array" ref="G21">D21*E21*MAX(0,12-MAX(0,F21-1))/12</f>
        <v>0</v>
      </c>
      <c r="H21" s="177" cm="1">
        <f t="array" ref="H21">D21*E21*MAX(0,24-MAX(12,F21-1))/12</f>
        <v>60000</v>
      </c>
      <c r="I21" s="177" cm="1">
        <f t="array" ref="I21">D21*E21*MAX(0,36-MAX(24,F21-1))/12</f>
        <v>60000</v>
      </c>
      <c r="J21" s="177" cm="1">
        <f t="array" ref="J21">D21*E21*MAX(0,48-MAX(36,F21-1))/12</f>
        <v>60000</v>
      </c>
      <c r="K21" s="177" cm="1">
        <f t="array" ref="K21">D21*E21*MAX(0,60-MAX(48,F21-1))/12</f>
        <v>60000</v>
      </c>
      <c r="L21" s="177" cm="1">
        <f t="array" ref="L21">D21*E21*MAX(0,72-MAX(60,F21-1))/12</f>
        <v>60000</v>
      </c>
      <c r="M21" s="177" cm="1">
        <f t="array" ref="M21">SUM(G21:L21)</f>
        <v>300000</v>
      </c>
    </row>
    <row r="22" spans="1:13" ht="24" customHeight="1" x14ac:dyDescent="0.2">
      <c r="A22" s="119"/>
      <c r="B22" s="154" t="s">
        <v>215</v>
      </c>
      <c r="C22" s="154" t="s">
        <v>216</v>
      </c>
      <c r="D22" s="177">
        <v>60000</v>
      </c>
      <c r="E22" s="194">
        <v>1</v>
      </c>
      <c r="F22" s="155">
        <v>18</v>
      </c>
      <c r="G22" s="177" cm="1">
        <f t="array" ref="G22">D22*E22*MAX(0,12-MAX(0,F22-1))/12</f>
        <v>0</v>
      </c>
      <c r="H22" s="177" cm="1">
        <f t="array" ref="H22">D22*E22*MAX(0,24-MAX(12,F22-1))/12</f>
        <v>35000</v>
      </c>
      <c r="I22" s="177" cm="1">
        <f t="array" ref="I22">D22*E22*MAX(0,36-MAX(24,F22-1))/12</f>
        <v>60000</v>
      </c>
      <c r="J22" s="177" cm="1">
        <f t="array" ref="J22">D22*E22*MAX(0,48-MAX(36,F22-1))/12</f>
        <v>60000</v>
      </c>
      <c r="K22" s="177" cm="1">
        <f t="array" ref="K22">D22*E22*MAX(0,60-MAX(48,F22-1))/12</f>
        <v>60000</v>
      </c>
      <c r="L22" s="177" cm="1">
        <f t="array" ref="L22">D22*E22*MAX(0,72-MAX(60,F22-1))/12</f>
        <v>60000</v>
      </c>
      <c r="M22" s="177" cm="1">
        <f t="array" ref="M22">SUM(G22:L22)</f>
        <v>275000</v>
      </c>
    </row>
    <row r="23" spans="1:13" ht="24" customHeight="1" x14ac:dyDescent="0.2">
      <c r="A23" s="119"/>
      <c r="B23" s="154" t="s">
        <v>217</v>
      </c>
      <c r="C23" s="154" t="s">
        <v>218</v>
      </c>
      <c r="D23" s="177">
        <v>25000</v>
      </c>
      <c r="E23" s="194">
        <v>1</v>
      </c>
      <c r="F23" s="155">
        <v>1</v>
      </c>
      <c r="G23" s="177" cm="1">
        <f t="array" ref="G23">D23*E23*MAX(0,12-MAX(0,F23-1))/12</f>
        <v>25000</v>
      </c>
      <c r="H23" s="177" cm="1">
        <f t="array" ref="H23">D23*E23*MAX(0,24-MAX(12,F23-1))/12</f>
        <v>25000</v>
      </c>
      <c r="I23" s="177" cm="1">
        <f t="array" ref="I23">D23*E23*MAX(0,36-MAX(24,F23-1))/12</f>
        <v>25000</v>
      </c>
      <c r="J23" s="177" cm="1">
        <f t="array" ref="J23">D23*E23*MAX(0,48-MAX(36,F23-1))/12</f>
        <v>25000</v>
      </c>
      <c r="K23" s="177" cm="1">
        <f t="array" ref="K23">D23*E23*MAX(0,60-MAX(48,F23-1))/12</f>
        <v>25000</v>
      </c>
      <c r="L23" s="177" cm="1">
        <f t="array" ref="L23">D23*E23*MAX(0,72-MAX(60,F23-1))/12</f>
        <v>25000</v>
      </c>
      <c r="M23" s="177" cm="1">
        <f t="array" ref="M23">SUM(G23:L23)</f>
        <v>150000</v>
      </c>
    </row>
    <row r="24" spans="1:13" ht="24" customHeight="1" x14ac:dyDescent="0.2">
      <c r="A24" s="119"/>
      <c r="B24" s="154" t="s">
        <v>219</v>
      </c>
      <c r="C24" s="154" t="s">
        <v>218</v>
      </c>
      <c r="D24" s="177">
        <v>25000</v>
      </c>
      <c r="E24" s="194">
        <v>1</v>
      </c>
      <c r="F24" s="155">
        <v>13</v>
      </c>
      <c r="G24" s="177" cm="1">
        <f t="array" ref="G24">D24*E24*MAX(0,12-MAX(0,F24-1))/12</f>
        <v>0</v>
      </c>
      <c r="H24" s="177" cm="1">
        <f t="array" ref="H24">D24*E24*MAX(0,24-MAX(12,F24-1))/12</f>
        <v>25000</v>
      </c>
      <c r="I24" s="177" cm="1">
        <f t="array" ref="I24">D24*E24*MAX(0,36-MAX(24,F24-1))/12</f>
        <v>25000</v>
      </c>
      <c r="J24" s="177" cm="1">
        <f t="array" ref="J24">D24*E24*MAX(0,48-MAX(36,F24-1))/12</f>
        <v>25000</v>
      </c>
      <c r="K24" s="177" cm="1">
        <f t="array" ref="K24">D24*E24*MAX(0,60-MAX(48,F24-1))/12</f>
        <v>25000</v>
      </c>
      <c r="L24" s="177" cm="1">
        <f t="array" ref="L24">D24*E24*MAX(0,72-MAX(60,F24-1))/12</f>
        <v>25000</v>
      </c>
      <c r="M24" s="177" cm="1">
        <f t="array" ref="M24">SUM(G24:L24)</f>
        <v>125000</v>
      </c>
    </row>
    <row r="25" spans="1:13" ht="24" customHeight="1" x14ac:dyDescent="0.2">
      <c r="A25" s="119"/>
      <c r="B25" s="154" t="s">
        <v>220</v>
      </c>
      <c r="C25" s="154" t="s">
        <v>214</v>
      </c>
      <c r="D25" s="177">
        <v>25000</v>
      </c>
      <c r="E25" s="194">
        <v>1</v>
      </c>
      <c r="F25" s="155">
        <v>13</v>
      </c>
      <c r="G25" s="177" cm="1">
        <f t="array" ref="G25">D25*E25*MAX(0,12-MAX(0,F25-1))/12</f>
        <v>0</v>
      </c>
      <c r="H25" s="177" cm="1">
        <f t="array" ref="H25">D25*E25*MAX(0,24-MAX(12,F25-1))/12</f>
        <v>25000</v>
      </c>
      <c r="I25" s="177" cm="1">
        <f t="array" ref="I25">D25*E25*MAX(0,36-MAX(24,F25-1))/12</f>
        <v>25000</v>
      </c>
      <c r="J25" s="177" cm="1">
        <f t="array" ref="J25">D25*E25*MAX(0,48-MAX(36,F25-1))/12</f>
        <v>25000</v>
      </c>
      <c r="K25" s="177" cm="1">
        <f t="array" ref="K25">D25*E25*MAX(0,60-MAX(48,F25-1))/12</f>
        <v>25000</v>
      </c>
      <c r="L25" s="177" cm="1">
        <f t="array" ref="L25">D25*E25*MAX(0,72-MAX(60,F25-1))/12</f>
        <v>25000</v>
      </c>
      <c r="M25" s="177" cm="1">
        <f t="array" ref="M25">SUM(G25:L25)</f>
        <v>125000</v>
      </c>
    </row>
    <row r="26" spans="1:13" ht="24" customHeight="1" x14ac:dyDescent="0.2">
      <c r="A26" s="119"/>
      <c r="B26" s="154" t="s">
        <v>221</v>
      </c>
      <c r="C26" s="154" t="s">
        <v>222</v>
      </c>
      <c r="D26" s="177">
        <v>12000</v>
      </c>
      <c r="E26" s="194">
        <v>1</v>
      </c>
      <c r="F26" s="155">
        <v>1</v>
      </c>
      <c r="G26" s="177" cm="1">
        <f t="array" ref="G26">D26*E26*MAX(0,12-MAX(0,F26-1))/12</f>
        <v>12000</v>
      </c>
      <c r="H26" s="177" cm="1">
        <f t="array" ref="H26">D26*E26*MAX(0,24-MAX(12,F26-1))/12</f>
        <v>12000</v>
      </c>
      <c r="I26" s="177" cm="1">
        <f t="array" ref="I26">D26*E26*MAX(0,36-MAX(24,F26-1))/12</f>
        <v>12000</v>
      </c>
      <c r="J26" s="177" cm="1">
        <f t="array" ref="J26">D26*E26*MAX(0,48-MAX(36,F26-1))/12</f>
        <v>12000</v>
      </c>
      <c r="K26" s="177" cm="1">
        <f t="array" ref="K26">D26*E26*MAX(0,60-MAX(48,F26-1))/12</f>
        <v>12000</v>
      </c>
      <c r="L26" s="177" cm="1">
        <f t="array" ref="L26">D26*E26*MAX(0,72-MAX(60,F26-1))/12</f>
        <v>12000</v>
      </c>
      <c r="M26" s="177" cm="1">
        <f t="array" ref="M26">SUM(G26:L26)</f>
        <v>72000</v>
      </c>
    </row>
    <row r="27" spans="1:13" ht="24" customHeight="1" x14ac:dyDescent="0.2">
      <c r="A27" s="119"/>
      <c r="B27" s="154" t="s">
        <v>223</v>
      </c>
      <c r="C27" s="154" t="s">
        <v>224</v>
      </c>
      <c r="D27" s="177">
        <v>24000</v>
      </c>
      <c r="E27" s="194">
        <v>1</v>
      </c>
      <c r="F27" s="155">
        <v>1</v>
      </c>
      <c r="G27" s="177" cm="1">
        <f t="array" ref="G27">D27*E27*MAX(0,12-MAX(0,F27-1))/12</f>
        <v>24000</v>
      </c>
      <c r="H27" s="177" cm="1">
        <f t="array" ref="H27">D27*E27*MAX(0,24-MAX(12,F27-1))/12</f>
        <v>24000</v>
      </c>
      <c r="I27" s="177" cm="1">
        <f t="array" ref="I27">D27*E27*MAX(0,36-MAX(24,F27-1))/12</f>
        <v>24000</v>
      </c>
      <c r="J27" s="177" cm="1">
        <f t="array" ref="J27">D27*E27*MAX(0,48-MAX(36,F27-1))/12</f>
        <v>24000</v>
      </c>
      <c r="K27" s="177" cm="1">
        <f t="array" ref="K27">D27*E27*MAX(0,60-MAX(48,F27-1))/12</f>
        <v>24000</v>
      </c>
      <c r="L27" s="177" cm="1">
        <f t="array" ref="L27">D27*E27*MAX(0,72-MAX(60,F27-1))/12</f>
        <v>24000</v>
      </c>
      <c r="M27" s="177" cm="1">
        <f t="array" ref="M27">SUM(G27:L27)</f>
        <v>144000</v>
      </c>
    </row>
    <row r="28" spans="1:13" ht="24" customHeight="1" x14ac:dyDescent="0.2">
      <c r="A28" s="119"/>
      <c r="B28" s="154" t="s">
        <v>225</v>
      </c>
      <c r="C28" s="154" t="s">
        <v>224</v>
      </c>
      <c r="D28" s="177">
        <v>12000</v>
      </c>
      <c r="E28" s="194">
        <v>1</v>
      </c>
      <c r="F28" s="155">
        <v>3</v>
      </c>
      <c r="G28" s="177" cm="1">
        <f t="array" ref="G28">D28*E28*MAX(0,12-MAX(0,F28-1))/12</f>
        <v>10000</v>
      </c>
      <c r="H28" s="177" cm="1">
        <f t="array" ref="H28">D28*E28*MAX(0,24-MAX(12,F28-1))/12</f>
        <v>12000</v>
      </c>
      <c r="I28" s="177" cm="1">
        <f t="array" ref="I28">D28*E28*MAX(0,36-MAX(24,F28-1))/12</f>
        <v>12000</v>
      </c>
      <c r="J28" s="177" cm="1">
        <f t="array" ref="J28">D28*E28*MAX(0,48-MAX(36,F28-1))/12</f>
        <v>12000</v>
      </c>
      <c r="K28" s="177" cm="1">
        <f t="array" ref="K28">D28*E28*MAX(0,60-MAX(48,F28-1))/12</f>
        <v>12000</v>
      </c>
      <c r="L28" s="177" cm="1">
        <f t="array" ref="L28">D28*E28*MAX(0,72-MAX(60,F28-1))/12</f>
        <v>12000</v>
      </c>
      <c r="M28" s="177" cm="1">
        <f t="array" ref="M28">SUM(G28:L28)</f>
        <v>70000</v>
      </c>
    </row>
    <row r="29" spans="1:13" ht="24" customHeight="1" x14ac:dyDescent="0.2">
      <c r="A29" s="119"/>
      <c r="B29" s="154" t="s">
        <v>226</v>
      </c>
      <c r="C29" s="154" t="s">
        <v>206</v>
      </c>
      <c r="D29" s="177">
        <v>34000</v>
      </c>
      <c r="E29" s="194">
        <v>1</v>
      </c>
      <c r="F29" s="155">
        <v>9</v>
      </c>
      <c r="G29" s="177" cm="1">
        <f t="array" ref="G29">D29*E29*MAX(0,12-MAX(0,F29-1))/12</f>
        <v>11333.333333333334</v>
      </c>
      <c r="H29" s="177" cm="1">
        <f t="array" ref="H29">D29*E29*MAX(0,24-MAX(12,F29-1))/12</f>
        <v>34000</v>
      </c>
      <c r="I29" s="177" cm="1">
        <f t="array" ref="I29">D29*E29*MAX(0,36-MAX(24,F29-1))/12</f>
        <v>34000</v>
      </c>
      <c r="J29" s="177" cm="1">
        <f t="array" ref="J29">D29*E29*MAX(0,48-MAX(36,F29-1))/12</f>
        <v>34000</v>
      </c>
      <c r="K29" s="177" cm="1">
        <f t="array" ref="K29">D29*E29*MAX(0,60-MAX(48,F29-1))/12</f>
        <v>34000</v>
      </c>
      <c r="L29" s="177" cm="1">
        <f t="array" ref="L29">D29*E29*MAX(0,72-MAX(60,F29-1))/12</f>
        <v>34000</v>
      </c>
      <c r="M29" s="177" cm="1">
        <f t="array" ref="M29">SUM(G29:L29)</f>
        <v>181333.33333333334</v>
      </c>
    </row>
    <row r="30" spans="1:13" ht="24" customHeight="1" x14ac:dyDescent="0.2">
      <c r="A30" s="119"/>
      <c r="B30" s="154" t="s">
        <v>227</v>
      </c>
      <c r="C30" s="154" t="s">
        <v>206</v>
      </c>
      <c r="D30" s="177">
        <v>34000</v>
      </c>
      <c r="E30" s="194">
        <v>1</v>
      </c>
      <c r="F30" s="155">
        <v>9</v>
      </c>
      <c r="G30" s="177" cm="1">
        <f t="array" ref="G30">D30*E30*MAX(0,12-MAX(0,F30-1))/12</f>
        <v>11333.333333333334</v>
      </c>
      <c r="H30" s="177" cm="1">
        <f t="array" ref="H30">D30*E30*MAX(0,24-MAX(12,F30-1))/12</f>
        <v>34000</v>
      </c>
      <c r="I30" s="177" cm="1">
        <f t="array" ref="I30">D30*E30*MAX(0,36-MAX(24,F30-1))/12</f>
        <v>34000</v>
      </c>
      <c r="J30" s="177" cm="1">
        <f t="array" ref="J30">D30*E30*MAX(0,48-MAX(36,F30-1))/12</f>
        <v>34000</v>
      </c>
      <c r="K30" s="177" cm="1">
        <f t="array" ref="K30">D30*E30*MAX(0,60-MAX(48,F30-1))/12</f>
        <v>34000</v>
      </c>
      <c r="L30" s="177" cm="1">
        <f t="array" ref="L30">D30*E30*MAX(0,72-MAX(60,F30-1))/12</f>
        <v>34000</v>
      </c>
      <c r="M30" s="177" cm="1">
        <f t="array" ref="M30">SUM(G30:L30)</f>
        <v>181333.33333333334</v>
      </c>
    </row>
    <row r="31" spans="1:13" ht="24" customHeight="1" x14ac:dyDescent="0.2">
      <c r="A31" s="119"/>
      <c r="B31" s="154" t="s">
        <v>228</v>
      </c>
      <c r="C31" s="154" t="s">
        <v>206</v>
      </c>
      <c r="D31" s="177">
        <v>34000</v>
      </c>
      <c r="E31" s="194">
        <v>1</v>
      </c>
      <c r="F31" s="155">
        <v>13</v>
      </c>
      <c r="G31" s="177" cm="1">
        <f t="array" ref="G31">D31*E31*MAX(0,12-MAX(0,F31-1))/12</f>
        <v>0</v>
      </c>
      <c r="H31" s="177" cm="1">
        <f t="array" ref="H31">D31*E31*MAX(0,24-MAX(12,F31-1))/12</f>
        <v>34000</v>
      </c>
      <c r="I31" s="177" cm="1">
        <f t="array" ref="I31">D31*E31*MAX(0,36-MAX(24,F31-1))/12</f>
        <v>34000</v>
      </c>
      <c r="J31" s="177" cm="1">
        <f t="array" ref="J31">D31*E31*MAX(0,48-MAX(36,F31-1))/12</f>
        <v>34000</v>
      </c>
      <c r="K31" s="177" cm="1">
        <f t="array" ref="K31">D31*E31*MAX(0,60-MAX(48,F31-1))/12</f>
        <v>34000</v>
      </c>
      <c r="L31" s="177" cm="1">
        <f t="array" ref="L31">D31*E31*MAX(0,72-MAX(60,F31-1))/12</f>
        <v>34000</v>
      </c>
      <c r="M31" s="177" cm="1">
        <f t="array" ref="M31">SUM(G31:L31)</f>
        <v>170000</v>
      </c>
    </row>
    <row r="32" spans="1:13" ht="24" customHeight="1" x14ac:dyDescent="0.2">
      <c r="A32" s="195"/>
      <c r="B32" s="196" t="s">
        <v>229</v>
      </c>
      <c r="C32" s="151"/>
      <c r="D32" s="151"/>
      <c r="E32" s="151"/>
      <c r="F32" s="151"/>
      <c r="G32" s="206" cm="1">
        <f t="array" ref="G32">SUM(G6:G31)</f>
        <v>1119500</v>
      </c>
      <c r="H32" s="206" cm="1">
        <f t="array" ref="H32">SUM(H6:H31)</f>
        <v>1725000</v>
      </c>
      <c r="I32" s="206" cm="1">
        <f t="array" ref="I32">SUM(I6:I31)</f>
        <v>1750000</v>
      </c>
      <c r="J32" s="206" cm="1">
        <f t="array" ref="J32">SUM(J6:J31)</f>
        <v>1750000</v>
      </c>
      <c r="K32" s="206" cm="1">
        <f t="array" ref="K32">SUM(K6:K31)</f>
        <v>1750000</v>
      </c>
      <c r="L32" s="206" cm="1">
        <f t="array" ref="L32">SUM(L6:L31)</f>
        <v>1750000</v>
      </c>
      <c r="M32" s="206" cm="1">
        <f t="array" ref="M32">SUM(M6:M31)</f>
        <v>9844500</v>
      </c>
    </row>
    <row r="33" spans="1:13" ht="24" customHeight="1" x14ac:dyDescent="0.2">
      <c r="A33" s="119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21"/>
    </row>
    <row r="34" spans="1:13" ht="24" customHeight="1" x14ac:dyDescent="0.2">
      <c r="A34" s="219"/>
      <c r="B34" s="220" t="s">
        <v>230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2"/>
    </row>
    <row r="35" spans="1:13" ht="24" customHeight="1" x14ac:dyDescent="0.2">
      <c r="A35" s="192"/>
      <c r="B35" s="176" t="s">
        <v>68</v>
      </c>
      <c r="C35" s="176" t="s">
        <v>231</v>
      </c>
      <c r="D35" s="198"/>
      <c r="E35" s="198"/>
      <c r="F35" s="198"/>
      <c r="G35" s="176" t="s">
        <v>38</v>
      </c>
      <c r="H35" s="176" t="s">
        <v>39</v>
      </c>
      <c r="I35" s="176" t="s">
        <v>40</v>
      </c>
      <c r="J35" s="176" t="s">
        <v>41</v>
      </c>
      <c r="K35" s="176" t="s">
        <v>42</v>
      </c>
      <c r="L35" s="176" t="s">
        <v>43</v>
      </c>
      <c r="M35" s="198"/>
    </row>
    <row r="36" spans="1:13" ht="24" customHeight="1" x14ac:dyDescent="0.2">
      <c r="A36" s="119"/>
      <c r="B36" s="154" t="s">
        <v>232</v>
      </c>
      <c r="C36" s="177">
        <v>60000</v>
      </c>
      <c r="D36" s="121"/>
      <c r="E36" s="121"/>
      <c r="F36" s="121"/>
      <c r="G36" s="194" cm="1">
        <f t="array" ref="G36">G66</f>
        <v>6</v>
      </c>
      <c r="H36" s="194" cm="1">
        <f t="array" ref="H36">H66</f>
        <v>7</v>
      </c>
      <c r="I36" s="194" cm="1">
        <f t="array" ref="I36">I66</f>
        <v>19</v>
      </c>
      <c r="J36" s="194" cm="1">
        <f t="array" ref="J36">J66</f>
        <v>45</v>
      </c>
      <c r="K36" s="194" cm="1">
        <f t="array" ref="K36">K66</f>
        <v>68</v>
      </c>
      <c r="L36" s="194" cm="1">
        <f t="array" ref="L36">L66</f>
        <v>90</v>
      </c>
      <c r="M36" s="121"/>
    </row>
    <row r="37" spans="1:13" ht="24" customHeight="1" x14ac:dyDescent="0.2">
      <c r="A37" s="119"/>
      <c r="B37" s="154" t="s">
        <v>233</v>
      </c>
      <c r="C37" s="223">
        <v>15000</v>
      </c>
      <c r="D37" s="121"/>
      <c r="E37" s="121"/>
      <c r="F37" s="121"/>
      <c r="G37" s="155" cm="1">
        <f t="array" ref="G37">G67</f>
        <v>0</v>
      </c>
      <c r="H37" s="155" cm="1">
        <f t="array" ref="H37">H67</f>
        <v>8</v>
      </c>
      <c r="I37" s="155" cm="1">
        <f t="array" ref="I37">I67</f>
        <v>20</v>
      </c>
      <c r="J37" s="155" cm="1">
        <f t="array" ref="J37">J67</f>
        <v>45</v>
      </c>
      <c r="K37" s="155" cm="1">
        <f t="array" ref="K37">K67</f>
        <v>68</v>
      </c>
      <c r="L37" s="155" cm="1">
        <f t="array" ref="L37">L67</f>
        <v>90</v>
      </c>
      <c r="M37" s="224"/>
    </row>
    <row r="38" spans="1:13" ht="24" customHeight="1" x14ac:dyDescent="0.2">
      <c r="A38" s="119"/>
      <c r="B38" s="225" t="s">
        <v>234</v>
      </c>
      <c r="C38" s="191"/>
      <c r="D38" s="191"/>
      <c r="E38" s="191"/>
      <c r="F38" s="191"/>
      <c r="G38" s="226" cm="1">
        <f t="array" ref="G38">G36*$C$36+G37*$C$37</f>
        <v>360000</v>
      </c>
      <c r="H38" s="226" cm="1">
        <f t="array" ref="H38">H36*$C$36+H37*$C$37</f>
        <v>540000</v>
      </c>
      <c r="I38" s="226" cm="1">
        <f t="array" ref="I38">I36*$C$36+I37*$C$37</f>
        <v>1440000</v>
      </c>
      <c r="J38" s="226" cm="1">
        <f t="array" ref="J38">J36*$C$36+J37*$C$37</f>
        <v>3375000</v>
      </c>
      <c r="K38" s="226" cm="1">
        <f t="array" ref="K38">K36*$C$36+K37*$C$37</f>
        <v>5100000</v>
      </c>
      <c r="L38" s="226" cm="1">
        <f t="array" ref="L38">L36*$C$36+L37*$C$37</f>
        <v>6750000</v>
      </c>
      <c r="M38" s="223" cm="1">
        <f t="array" ref="M38">SUM(G38:L38)</f>
        <v>17565000</v>
      </c>
    </row>
    <row r="39" spans="1:13" ht="24" customHeight="1" x14ac:dyDescent="0.2">
      <c r="A39" s="219"/>
      <c r="B39" s="227" t="s">
        <v>235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2"/>
    </row>
    <row r="40" spans="1:13" ht="24" customHeight="1" x14ac:dyDescent="0.2">
      <c r="A40" s="11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83" t="s">
        <v>236</v>
      </c>
    </row>
    <row r="41" spans="1:13" ht="24" customHeight="1" x14ac:dyDescent="0.2">
      <c r="A41" s="192"/>
      <c r="B41" s="176" t="s">
        <v>237</v>
      </c>
      <c r="C41" s="176" t="s">
        <v>112</v>
      </c>
      <c r="D41" s="198"/>
      <c r="E41" s="198"/>
      <c r="F41" s="198"/>
      <c r="G41" s="176" t="s">
        <v>38</v>
      </c>
      <c r="H41" s="176" t="s">
        <v>39</v>
      </c>
      <c r="I41" s="176" t="s">
        <v>40</v>
      </c>
      <c r="J41" s="176" t="s">
        <v>41</v>
      </c>
      <c r="K41" s="176" t="s">
        <v>42</v>
      </c>
      <c r="L41" s="176" t="s">
        <v>43</v>
      </c>
      <c r="M41" s="284"/>
    </row>
    <row r="42" spans="1:13" ht="24" customHeight="1" x14ac:dyDescent="0.2">
      <c r="A42" s="119"/>
      <c r="B42" s="154" t="s">
        <v>238</v>
      </c>
      <c r="C42" s="154" t="s">
        <v>239</v>
      </c>
      <c r="D42" s="121"/>
      <c r="E42" s="121"/>
      <c r="F42" s="121"/>
      <c r="G42" s="177" cm="1">
        <f t="array" ref="G42">MAX(25000,'P&amp;L Tables'!C8/1000*16.67)+12000</f>
        <v>37000</v>
      </c>
      <c r="H42" s="177" cm="1">
        <f t="array" ref="H42">MAX(25000,'P&amp;L Tables'!D8/1000*16.67)+12000</f>
        <v>229960.25000000003</v>
      </c>
      <c r="I42" s="177" cm="1">
        <f t="array" ref="I42">MAX(25000,'P&amp;L Tables'!E8/1000*16.67)+12000</f>
        <v>823412.25000000012</v>
      </c>
      <c r="J42" s="177" cm="1">
        <f t="array" ref="J42">MAX(25000,'P&amp;L Tables'!F8/1000*16.67)+12000</f>
        <v>2447903.7500000005</v>
      </c>
      <c r="K42" s="177" cm="1">
        <f t="array" ref="K42">MAX(25000,'P&amp;L Tables'!G8/1000*16.67)+12000</f>
        <v>4156578.7500000005</v>
      </c>
      <c r="L42" s="177" cm="1">
        <f t="array" ref="L42">MAX(25000,'P&amp;L Tables'!H8/1000*16.67)+12000</f>
        <v>6073628.7500000009</v>
      </c>
      <c r="M42" s="284"/>
    </row>
    <row r="43" spans="1:13" ht="24" customHeight="1" x14ac:dyDescent="0.2">
      <c r="A43" s="119"/>
      <c r="B43" s="154" t="s">
        <v>240</v>
      </c>
      <c r="C43" s="154" t="s">
        <v>241</v>
      </c>
      <c r="D43" s="121"/>
      <c r="E43" s="121"/>
      <c r="F43" s="121"/>
      <c r="G43" s="177">
        <v>40000</v>
      </c>
      <c r="H43" s="177">
        <v>80000</v>
      </c>
      <c r="I43" s="177">
        <v>80000</v>
      </c>
      <c r="J43" s="177">
        <v>80000</v>
      </c>
      <c r="K43" s="177">
        <v>80000</v>
      </c>
      <c r="L43" s="177">
        <v>80000</v>
      </c>
      <c r="M43" s="121"/>
    </row>
    <row r="44" spans="1:13" ht="24" customHeight="1" x14ac:dyDescent="0.2">
      <c r="A44" s="119"/>
      <c r="B44" s="154" t="s">
        <v>242</v>
      </c>
      <c r="C44" s="154" t="s">
        <v>243</v>
      </c>
      <c r="D44" s="121"/>
      <c r="E44" s="121"/>
      <c r="F44" s="121"/>
      <c r="G44" s="177">
        <v>38076</v>
      </c>
      <c r="H44" s="177">
        <v>76152</v>
      </c>
      <c r="I44" s="177">
        <v>76152</v>
      </c>
      <c r="J44" s="177">
        <v>76152</v>
      </c>
      <c r="K44" s="177">
        <v>76152</v>
      </c>
      <c r="L44" s="177">
        <v>76152</v>
      </c>
      <c r="M44" s="121"/>
    </row>
    <row r="45" spans="1:13" ht="24" customHeight="1" x14ac:dyDescent="0.2">
      <c r="A45" s="119"/>
      <c r="B45" s="154" t="s">
        <v>244</v>
      </c>
      <c r="C45" s="154" t="s">
        <v>245</v>
      </c>
      <c r="D45" s="121"/>
      <c r="E45" s="121"/>
      <c r="F45" s="121"/>
      <c r="G45" s="177">
        <v>500000</v>
      </c>
      <c r="H45" s="177">
        <v>500000</v>
      </c>
      <c r="I45" s="177">
        <v>500000</v>
      </c>
      <c r="J45" s="177">
        <v>500000</v>
      </c>
      <c r="K45" s="177">
        <v>500000</v>
      </c>
      <c r="L45" s="177">
        <v>500000</v>
      </c>
      <c r="M45" s="121"/>
    </row>
    <row r="46" spans="1:13" ht="24" customHeight="1" x14ac:dyDescent="0.2">
      <c r="A46" s="195"/>
      <c r="B46" s="196" t="s">
        <v>246</v>
      </c>
      <c r="C46" s="151"/>
      <c r="D46" s="151"/>
      <c r="E46" s="151"/>
      <c r="F46" s="151"/>
      <c r="G46" s="206" cm="1">
        <f t="array" ref="G46">SUM(G42:G45)</f>
        <v>615076</v>
      </c>
      <c r="H46" s="206" cm="1">
        <f t="array" ref="H46">SUM(H42:H45)</f>
        <v>886112.25</v>
      </c>
      <c r="I46" s="206" cm="1">
        <f t="array" ref="I46">SUM(I42:I45)</f>
        <v>1479564.25</v>
      </c>
      <c r="J46" s="206" cm="1">
        <f t="array" ref="J46">SUM(J42:J45)</f>
        <v>3104055.7500000005</v>
      </c>
      <c r="K46" s="206" cm="1">
        <f t="array" ref="K46">SUM(K42:K45)</f>
        <v>4812730.75</v>
      </c>
      <c r="L46" s="206" cm="1">
        <f t="array" ref="L46">SUM(L42:L45)</f>
        <v>6729780.7500000009</v>
      </c>
      <c r="M46" s="206" cm="1">
        <f t="array" ref="M46">SUM(G46:L46)</f>
        <v>17627319.75</v>
      </c>
    </row>
    <row r="47" spans="1:13" ht="24" customHeight="1" x14ac:dyDescent="0.2">
      <c r="A47" s="119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21"/>
    </row>
    <row r="48" spans="1:13" ht="24" customHeight="1" x14ac:dyDescent="0.2">
      <c r="A48" s="219"/>
      <c r="B48" s="220" t="s">
        <v>247</v>
      </c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2"/>
    </row>
    <row r="49" spans="1:13" ht="24" customHeight="1" x14ac:dyDescent="0.2">
      <c r="A49" s="192"/>
      <c r="B49" s="176" t="s">
        <v>185</v>
      </c>
      <c r="C49" s="198"/>
      <c r="D49" s="198"/>
      <c r="E49" s="198"/>
      <c r="F49" s="198"/>
      <c r="G49" s="176" t="s">
        <v>38</v>
      </c>
      <c r="H49" s="176" t="s">
        <v>39</v>
      </c>
      <c r="I49" s="176" t="s">
        <v>40</v>
      </c>
      <c r="J49" s="176" t="s">
        <v>41</v>
      </c>
      <c r="K49" s="176" t="s">
        <v>42</v>
      </c>
      <c r="L49" s="176" t="s">
        <v>43</v>
      </c>
      <c r="M49" s="198"/>
    </row>
    <row r="50" spans="1:13" ht="24" customHeight="1" x14ac:dyDescent="0.2">
      <c r="A50" s="119"/>
      <c r="B50" s="154" t="s">
        <v>196</v>
      </c>
      <c r="C50" s="121"/>
      <c r="D50" s="121"/>
      <c r="E50" s="121"/>
      <c r="F50" s="121"/>
      <c r="G50" s="194">
        <v>5</v>
      </c>
      <c r="H50" s="194">
        <v>5</v>
      </c>
      <c r="I50" s="194">
        <v>5</v>
      </c>
      <c r="J50" s="194">
        <v>5</v>
      </c>
      <c r="K50" s="194">
        <v>5</v>
      </c>
      <c r="L50" s="194">
        <v>5</v>
      </c>
      <c r="M50" s="121"/>
    </row>
    <row r="51" spans="1:13" ht="24" customHeight="1" x14ac:dyDescent="0.2">
      <c r="A51" s="119"/>
      <c r="B51" s="154" t="s">
        <v>202</v>
      </c>
      <c r="C51" s="121"/>
      <c r="D51" s="121"/>
      <c r="E51" s="121"/>
      <c r="F51" s="121"/>
      <c r="G51" s="194">
        <v>3</v>
      </c>
      <c r="H51" s="194">
        <v>3</v>
      </c>
      <c r="I51" s="194">
        <v>3</v>
      </c>
      <c r="J51" s="194">
        <v>3</v>
      </c>
      <c r="K51" s="194">
        <v>3</v>
      </c>
      <c r="L51" s="194">
        <v>3</v>
      </c>
      <c r="M51" s="121"/>
    </row>
    <row r="52" spans="1:13" ht="24" customHeight="1" x14ac:dyDescent="0.2">
      <c r="A52" s="119"/>
      <c r="B52" s="154" t="s">
        <v>206</v>
      </c>
      <c r="C52" s="121"/>
      <c r="D52" s="121"/>
      <c r="E52" s="121"/>
      <c r="F52" s="121"/>
      <c r="G52" s="194">
        <v>5</v>
      </c>
      <c r="H52" s="194">
        <v>10</v>
      </c>
      <c r="I52" s="194">
        <v>10</v>
      </c>
      <c r="J52" s="194">
        <v>10</v>
      </c>
      <c r="K52" s="194">
        <v>10</v>
      </c>
      <c r="L52" s="194">
        <v>10</v>
      </c>
      <c r="M52" s="121"/>
    </row>
    <row r="53" spans="1:13" ht="24" customHeight="1" x14ac:dyDescent="0.2">
      <c r="A53" s="119"/>
      <c r="B53" s="154" t="s">
        <v>248</v>
      </c>
      <c r="C53" s="121"/>
      <c r="D53" s="121"/>
      <c r="E53" s="121"/>
      <c r="F53" s="121"/>
      <c r="G53" s="194">
        <v>1</v>
      </c>
      <c r="H53" s="194">
        <v>5</v>
      </c>
      <c r="I53" s="194">
        <v>5</v>
      </c>
      <c r="J53" s="194">
        <v>5</v>
      </c>
      <c r="K53" s="194">
        <v>5</v>
      </c>
      <c r="L53" s="194">
        <v>5</v>
      </c>
      <c r="M53" s="121"/>
    </row>
    <row r="54" spans="1:13" ht="24" customHeight="1" x14ac:dyDescent="0.2">
      <c r="A54" s="119"/>
      <c r="B54" s="154" t="s">
        <v>222</v>
      </c>
      <c r="C54" s="121"/>
      <c r="D54" s="121"/>
      <c r="E54" s="121"/>
      <c r="F54" s="121"/>
      <c r="G54" s="194">
        <v>1</v>
      </c>
      <c r="H54" s="194">
        <v>1</v>
      </c>
      <c r="I54" s="194">
        <v>1</v>
      </c>
      <c r="J54" s="194">
        <v>1</v>
      </c>
      <c r="K54" s="194">
        <v>1</v>
      </c>
      <c r="L54" s="194">
        <v>1</v>
      </c>
      <c r="M54" s="121"/>
    </row>
    <row r="55" spans="1:13" ht="24" customHeight="1" x14ac:dyDescent="0.2">
      <c r="A55" s="119"/>
      <c r="B55" s="154" t="s">
        <v>224</v>
      </c>
      <c r="C55" s="121"/>
      <c r="D55" s="121"/>
      <c r="E55" s="121"/>
      <c r="F55" s="121"/>
      <c r="G55" s="194">
        <v>2</v>
      </c>
      <c r="H55" s="194">
        <v>2</v>
      </c>
      <c r="I55" s="194">
        <v>2</v>
      </c>
      <c r="J55" s="194">
        <v>2</v>
      </c>
      <c r="K55" s="194">
        <v>2</v>
      </c>
      <c r="L55" s="194">
        <v>2</v>
      </c>
      <c r="M55" s="121"/>
    </row>
    <row r="56" spans="1:13" ht="24" customHeight="1" x14ac:dyDescent="0.2">
      <c r="A56" s="119"/>
      <c r="B56" s="154" t="s">
        <v>249</v>
      </c>
      <c r="C56" s="121"/>
      <c r="D56" s="121"/>
      <c r="E56" s="121"/>
      <c r="F56" s="121"/>
      <c r="G56" s="194" cm="1">
        <f t="array" ref="G56">G36+G37</f>
        <v>6</v>
      </c>
      <c r="H56" s="194" cm="1">
        <f t="array" ref="H56">H36+H37</f>
        <v>15</v>
      </c>
      <c r="I56" s="194" cm="1">
        <f t="array" ref="I56">I36+I37</f>
        <v>39</v>
      </c>
      <c r="J56" s="194" cm="1">
        <f t="array" ref="J56">J36+J37</f>
        <v>90</v>
      </c>
      <c r="K56" s="194" cm="1">
        <f t="array" ref="K56">K36+K37</f>
        <v>136</v>
      </c>
      <c r="L56" s="194" cm="1">
        <f t="array" ref="L56">L36+L37</f>
        <v>180</v>
      </c>
      <c r="M56" s="121"/>
    </row>
    <row r="57" spans="1:13" ht="24" customHeight="1" x14ac:dyDescent="0.2">
      <c r="A57" s="230"/>
      <c r="B57" s="196" t="s">
        <v>250</v>
      </c>
      <c r="C57" s="231"/>
      <c r="D57" s="232"/>
      <c r="E57" s="232"/>
      <c r="F57" s="233"/>
      <c r="G57" s="197" cm="1">
        <f t="array" ref="G57">SUM(G50:G56)</f>
        <v>23</v>
      </c>
      <c r="H57" s="197" cm="1">
        <f t="array" ref="H57">SUM(H50:H56)</f>
        <v>41</v>
      </c>
      <c r="I57" s="197" cm="1">
        <f t="array" ref="I57">SUM(I50:I56)</f>
        <v>65</v>
      </c>
      <c r="J57" s="197" cm="1">
        <f t="array" ref="J57">SUM(J50:J56)</f>
        <v>116</v>
      </c>
      <c r="K57" s="197" cm="1">
        <f t="array" ref="K57">SUM(K50:K56)</f>
        <v>162</v>
      </c>
      <c r="L57" s="197" cm="1">
        <f t="array" ref="L57">SUM(L50:L56)</f>
        <v>206</v>
      </c>
      <c r="M57" s="234"/>
    </row>
    <row r="58" spans="1:13" ht="24" hidden="1" customHeight="1" x14ac:dyDescent="0.2">
      <c r="A58" s="235"/>
      <c r="B58" s="236" t="s">
        <v>251</v>
      </c>
      <c r="C58" s="237"/>
      <c r="D58" s="237"/>
      <c r="E58" s="237"/>
      <c r="F58" s="237"/>
      <c r="G58" s="36"/>
      <c r="H58" s="36"/>
      <c r="I58" s="36"/>
      <c r="J58" s="36"/>
      <c r="K58" s="36"/>
      <c r="L58" s="36"/>
      <c r="M58" s="238"/>
    </row>
    <row r="59" spans="1:13" ht="24" hidden="1" customHeight="1" x14ac:dyDescent="0.2">
      <c r="A59" s="239"/>
      <c r="B59" s="240" t="s">
        <v>252</v>
      </c>
      <c r="C59" s="241"/>
      <c r="D59" s="241"/>
      <c r="E59" s="241"/>
      <c r="F59" s="241"/>
      <c r="G59" s="240" t="s">
        <v>38</v>
      </c>
      <c r="H59" s="240" t="s">
        <v>39</v>
      </c>
      <c r="I59" s="240" t="s">
        <v>40</v>
      </c>
      <c r="J59" s="240" t="s">
        <v>41</v>
      </c>
      <c r="K59" s="240" t="s">
        <v>42</v>
      </c>
      <c r="L59" s="240" t="s">
        <v>43</v>
      </c>
      <c r="M59" s="242"/>
    </row>
    <row r="60" spans="1:13" ht="24" hidden="1" customHeight="1" x14ac:dyDescent="0.2">
      <c r="A60" s="243"/>
      <c r="B60" s="244" t="s">
        <v>253</v>
      </c>
      <c r="C60" s="245"/>
      <c r="D60" s="245"/>
      <c r="E60" s="245"/>
      <c r="F60" s="245"/>
      <c r="G60" s="246">
        <v>360000</v>
      </c>
      <c r="H60" s="246">
        <v>540000</v>
      </c>
      <c r="I60" s="246">
        <v>1440000</v>
      </c>
      <c r="J60" s="246">
        <v>3375000</v>
      </c>
      <c r="K60" s="246">
        <v>5100000</v>
      </c>
      <c r="L60" s="246">
        <v>6750000</v>
      </c>
      <c r="M60" s="247"/>
    </row>
    <row r="61" spans="1:13" ht="24" hidden="1" customHeight="1" x14ac:dyDescent="0.2">
      <c r="A61" s="243"/>
      <c r="B61" s="248" t="s">
        <v>254</v>
      </c>
      <c r="C61" s="249">
        <v>60000</v>
      </c>
      <c r="D61" s="245"/>
      <c r="E61" s="245"/>
      <c r="F61" s="245"/>
      <c r="G61" s="250"/>
      <c r="H61" s="250"/>
      <c r="I61" s="250"/>
      <c r="J61" s="250"/>
      <c r="K61" s="250"/>
      <c r="L61" s="250"/>
      <c r="M61" s="247"/>
    </row>
    <row r="62" spans="1:13" ht="24" hidden="1" customHeight="1" x14ac:dyDescent="0.2">
      <c r="A62" s="243"/>
      <c r="B62" s="248" t="s">
        <v>255</v>
      </c>
      <c r="C62" s="249">
        <v>15000</v>
      </c>
      <c r="D62" s="245"/>
      <c r="E62" s="245"/>
      <c r="F62" s="245"/>
      <c r="G62" s="250"/>
      <c r="H62" s="250"/>
      <c r="I62" s="250"/>
      <c r="J62" s="250"/>
      <c r="K62" s="250"/>
      <c r="L62" s="250"/>
      <c r="M62" s="247"/>
    </row>
    <row r="63" spans="1:13" ht="24" hidden="1" customHeight="1" x14ac:dyDescent="0.2">
      <c r="A63" s="243"/>
      <c r="B63" s="248" t="s">
        <v>256</v>
      </c>
      <c r="C63" s="251">
        <v>0.8</v>
      </c>
      <c r="D63" s="245"/>
      <c r="E63" s="245"/>
      <c r="F63" s="245"/>
      <c r="G63" s="250"/>
      <c r="H63" s="250"/>
      <c r="I63" s="250"/>
      <c r="J63" s="250"/>
      <c r="K63" s="250"/>
      <c r="L63" s="250"/>
      <c r="M63" s="247"/>
    </row>
    <row r="64" spans="1:13" ht="24" hidden="1" customHeight="1" x14ac:dyDescent="0.2">
      <c r="A64" s="243"/>
      <c r="B64" s="248" t="s">
        <v>257</v>
      </c>
      <c r="C64" s="251">
        <v>0.2</v>
      </c>
      <c r="D64" s="245"/>
      <c r="E64" s="245"/>
      <c r="F64" s="245"/>
      <c r="G64" s="250"/>
      <c r="H64" s="250"/>
      <c r="I64" s="250"/>
      <c r="J64" s="250"/>
      <c r="K64" s="250"/>
      <c r="L64" s="250"/>
      <c r="M64" s="247"/>
    </row>
    <row r="65" spans="1:13" ht="24" hidden="1" customHeight="1" x14ac:dyDescent="0.2">
      <c r="A65" s="243"/>
      <c r="B65" s="248" t="s">
        <v>258</v>
      </c>
      <c r="C65" s="252" t="s">
        <v>259</v>
      </c>
      <c r="D65" s="245"/>
      <c r="E65" s="245"/>
      <c r="F65" s="245"/>
      <c r="G65" s="250"/>
      <c r="H65" s="250"/>
      <c r="I65" s="250"/>
      <c r="J65" s="250"/>
      <c r="K65" s="250"/>
      <c r="L65" s="250"/>
      <c r="M65" s="247"/>
    </row>
    <row r="66" spans="1:13" ht="24" hidden="1" customHeight="1" x14ac:dyDescent="0.2">
      <c r="A66" s="243"/>
      <c r="B66" s="253" t="s">
        <v>260</v>
      </c>
      <c r="C66" s="254"/>
      <c r="D66" s="254"/>
      <c r="E66" s="254"/>
      <c r="F66" s="254"/>
      <c r="G66" s="255" cm="1">
        <f t="array" ref="G66">ROUND(G60/$C$61,0)</f>
        <v>6</v>
      </c>
      <c r="H66" s="256" cm="1">
        <f t="array" ref="H66">ROUND(H60*$C$63/$C$61,0)</f>
        <v>7</v>
      </c>
      <c r="I66" s="256" cm="1">
        <f t="array" ref="I66">ROUND(I60*$C$63/$C$61,0)</f>
        <v>19</v>
      </c>
      <c r="J66" s="256" cm="1">
        <f t="array" ref="J66">ROUND(J60*$C$63/$C$61,0)</f>
        <v>45</v>
      </c>
      <c r="K66" s="256" cm="1">
        <f t="array" ref="K66">ROUND(K60*$C$63/$C$61,0)</f>
        <v>68</v>
      </c>
      <c r="L66" s="256" cm="1">
        <f t="array" ref="L66">ROUND(L60*$C$63/$C$61,0)</f>
        <v>90</v>
      </c>
      <c r="M66" s="257"/>
    </row>
    <row r="67" spans="1:13" ht="24" hidden="1" customHeight="1" x14ac:dyDescent="0.2">
      <c r="A67" s="243"/>
      <c r="B67" s="253" t="s">
        <v>261</v>
      </c>
      <c r="C67" s="254"/>
      <c r="D67" s="254"/>
      <c r="E67" s="254"/>
      <c r="F67" s="254"/>
      <c r="G67" s="256">
        <v>0</v>
      </c>
      <c r="H67" s="256" cm="1">
        <f t="array" ref="H67">ROUNDUP(H60*$C$64/$C$62,0)</f>
        <v>8</v>
      </c>
      <c r="I67" s="256" cm="1">
        <f t="array" ref="I67">ROUNDUP(I60*$C$64/$C$62,0)</f>
        <v>20</v>
      </c>
      <c r="J67" s="256" cm="1">
        <f t="array" ref="J67">ROUNDUP(J60*$C$64/$C$62,0)</f>
        <v>45</v>
      </c>
      <c r="K67" s="256" cm="1">
        <f t="array" ref="K67">ROUNDUP(K60*$C$64/$C$62,0)</f>
        <v>68</v>
      </c>
      <c r="L67" s="256" cm="1">
        <f t="array" ref="L67">ROUNDUP(L60*$C$64/$C$62,0)</f>
        <v>90</v>
      </c>
      <c r="M67" s="257"/>
    </row>
    <row r="68" spans="1:13" ht="24" hidden="1" customHeight="1" x14ac:dyDescent="0.2">
      <c r="A68" s="243"/>
      <c r="B68" s="253" t="s">
        <v>262</v>
      </c>
      <c r="C68" s="254"/>
      <c r="D68" s="254"/>
      <c r="E68" s="254"/>
      <c r="F68" s="254"/>
      <c r="G68" s="256" cm="1">
        <f t="array" ref="G68">G66+G67</f>
        <v>6</v>
      </c>
      <c r="H68" s="256" cm="1">
        <f t="array" ref="H68">H66+H67</f>
        <v>15</v>
      </c>
      <c r="I68" s="256" cm="1">
        <f t="array" ref="I68">I66+I67</f>
        <v>39</v>
      </c>
      <c r="J68" s="256" cm="1">
        <f t="array" ref="J68">J66+J67</f>
        <v>90</v>
      </c>
      <c r="K68" s="256" cm="1">
        <f t="array" ref="K68">K66+K67</f>
        <v>136</v>
      </c>
      <c r="L68" s="256" cm="1">
        <f t="array" ref="L68">L66+L67</f>
        <v>180</v>
      </c>
      <c r="M68" s="257"/>
    </row>
    <row r="69" spans="1:13" ht="24" hidden="1" customHeight="1" x14ac:dyDescent="0.2">
      <c r="A69" s="243"/>
      <c r="B69" s="253" t="s">
        <v>263</v>
      </c>
      <c r="C69" s="254"/>
      <c r="D69" s="254"/>
      <c r="E69" s="254"/>
      <c r="F69" s="254"/>
      <c r="G69" s="258" cm="1">
        <f t="array" ref="G69">G66*$C$61+G67*$C$62</f>
        <v>360000</v>
      </c>
      <c r="H69" s="258" cm="1">
        <f t="array" ref="H69">H66*$C$61+H67*$C$62</f>
        <v>540000</v>
      </c>
      <c r="I69" s="258" cm="1">
        <f t="array" ref="I69">I66*$C$61+I67*$C$62</f>
        <v>1440000</v>
      </c>
      <c r="J69" s="258" cm="1">
        <f t="array" ref="J69">J66*$C$61+J67*$C$62</f>
        <v>3375000</v>
      </c>
      <c r="K69" s="258" cm="1">
        <f t="array" ref="K69">K66*$C$61+K67*$C$62</f>
        <v>5100000</v>
      </c>
      <c r="L69" s="258" cm="1">
        <f t="array" ref="L69">L66*$C$61+L67*$C$62</f>
        <v>6750000</v>
      </c>
      <c r="M69" s="257"/>
    </row>
  </sheetData>
  <mergeCells count="1">
    <mergeCell ref="M40:M42"/>
  </mergeCells>
  <pageMargins left="0.75" right="0.75" top="1" bottom="1" header="0.51181100000000002" footer="0.51180599999999998"/>
  <pageSetup orientation="landscape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8"/>
  <sheetViews>
    <sheetView showGridLines="0" workbookViewId="0">
      <selection activeCell="B21" sqref="B21:K21"/>
    </sheetView>
  </sheetViews>
  <sheetFormatPr baseColWidth="10" defaultColWidth="8.6640625" defaultRowHeight="15" customHeight="1" x14ac:dyDescent="0.2"/>
  <cols>
    <col min="1" max="1" width="1.6640625" style="1" customWidth="1"/>
    <col min="2" max="2" width="36" style="1" customWidth="1"/>
    <col min="3" max="3" width="12" style="1" customWidth="1"/>
    <col min="4" max="4" width="35.33203125" style="1" customWidth="1"/>
    <col min="5" max="5" width="16.5" style="1" customWidth="1"/>
    <col min="6" max="11" width="14" style="1" customWidth="1"/>
    <col min="12" max="12" width="8.6640625" style="1" customWidth="1"/>
    <col min="13" max="16384" width="8.6640625" style="1"/>
  </cols>
  <sheetData>
    <row r="1" spans="1:11" ht="8.5" customHeight="1" x14ac:dyDescent="0.2">
      <c r="A1" s="184"/>
      <c r="B1" s="185"/>
      <c r="C1" s="186"/>
      <c r="D1" s="186"/>
      <c r="E1" s="186"/>
      <c r="F1" s="186"/>
      <c r="G1" s="186"/>
      <c r="H1" s="186"/>
      <c r="I1" s="186"/>
      <c r="J1" s="186"/>
      <c r="K1" s="187"/>
    </row>
    <row r="2" spans="1:11" ht="21" customHeight="1" x14ac:dyDescent="0.2">
      <c r="A2" s="146"/>
      <c r="B2" s="188" t="s">
        <v>264</v>
      </c>
      <c r="C2" s="189"/>
      <c r="D2" s="189"/>
      <c r="E2" s="189"/>
      <c r="F2" s="189"/>
      <c r="G2" s="189"/>
      <c r="H2" s="189"/>
      <c r="I2" s="189"/>
      <c r="J2" s="189"/>
      <c r="K2" s="190"/>
    </row>
    <row r="3" spans="1:11" ht="21" customHeight="1" x14ac:dyDescent="0.2">
      <c r="A3" s="119"/>
      <c r="B3" s="120" t="s">
        <v>265</v>
      </c>
      <c r="C3" s="121"/>
      <c r="D3" s="121"/>
      <c r="E3" s="121"/>
      <c r="F3" s="121"/>
      <c r="G3" s="121"/>
      <c r="H3" s="121"/>
      <c r="I3" s="121"/>
      <c r="J3" s="121"/>
      <c r="K3" s="121"/>
    </row>
    <row r="4" spans="1:11" ht="21" customHeight="1" x14ac:dyDescent="0.2">
      <c r="A4" s="119"/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ht="21" customHeight="1" x14ac:dyDescent="0.2">
      <c r="A5" s="259"/>
      <c r="B5" s="176" t="s">
        <v>237</v>
      </c>
      <c r="C5" s="176" t="s">
        <v>187</v>
      </c>
      <c r="D5" s="176"/>
      <c r="E5" s="176" t="s">
        <v>38</v>
      </c>
      <c r="F5" s="176" t="s">
        <v>39</v>
      </c>
      <c r="G5" s="176" t="s">
        <v>40</v>
      </c>
      <c r="H5" s="176" t="s">
        <v>41</v>
      </c>
      <c r="I5" s="176" t="s">
        <v>42</v>
      </c>
      <c r="J5" s="176" t="s">
        <v>43</v>
      </c>
      <c r="K5" s="176" t="s">
        <v>266</v>
      </c>
    </row>
    <row r="6" spans="1:11" ht="21" customHeight="1" x14ac:dyDescent="0.2">
      <c r="A6" s="119"/>
      <c r="B6" s="154" t="s">
        <v>267</v>
      </c>
      <c r="C6" s="194">
        <v>2</v>
      </c>
      <c r="D6" s="178"/>
      <c r="E6" s="177">
        <v>220000</v>
      </c>
      <c r="F6" s="177">
        <v>220000</v>
      </c>
      <c r="G6" s="177">
        <v>0</v>
      </c>
      <c r="H6" s="177">
        <v>0</v>
      </c>
      <c r="I6" s="177">
        <v>0</v>
      </c>
      <c r="J6" s="177">
        <v>0</v>
      </c>
      <c r="K6" s="177" cm="1">
        <f t="array" ref="K6">SUM(E6:J6)</f>
        <v>440000</v>
      </c>
    </row>
    <row r="7" spans="1:11" ht="21" customHeight="1" x14ac:dyDescent="0.2">
      <c r="A7" s="119"/>
      <c r="B7" s="154" t="s">
        <v>268</v>
      </c>
      <c r="C7" s="194">
        <v>10</v>
      </c>
      <c r="D7" s="178"/>
      <c r="E7" s="177">
        <v>45000</v>
      </c>
      <c r="F7" s="177">
        <v>45000</v>
      </c>
      <c r="G7" s="177">
        <v>60000</v>
      </c>
      <c r="H7" s="177">
        <v>0</v>
      </c>
      <c r="I7" s="177">
        <v>0</v>
      </c>
      <c r="J7" s="177">
        <v>0</v>
      </c>
      <c r="K7" s="177" cm="1">
        <f t="array" ref="K7">SUM(E7:J7)</f>
        <v>150000</v>
      </c>
    </row>
    <row r="8" spans="1:11" ht="21" customHeight="1" x14ac:dyDescent="0.2">
      <c r="A8" s="119"/>
      <c r="B8" s="154" t="s">
        <v>269</v>
      </c>
      <c r="C8" s="194">
        <v>1</v>
      </c>
      <c r="D8" s="178"/>
      <c r="E8" s="177">
        <v>0</v>
      </c>
      <c r="F8" s="177">
        <v>350000</v>
      </c>
      <c r="G8" s="177">
        <v>0</v>
      </c>
      <c r="H8" s="177">
        <v>0</v>
      </c>
      <c r="I8" s="177">
        <v>0</v>
      </c>
      <c r="J8" s="177">
        <v>0</v>
      </c>
      <c r="K8" s="177" cm="1">
        <f t="array" ref="K8">SUM(E8:J8)</f>
        <v>350000</v>
      </c>
    </row>
    <row r="9" spans="1:11" ht="21" customHeight="1" x14ac:dyDescent="0.2">
      <c r="A9" s="119"/>
      <c r="B9" s="154" t="s">
        <v>270</v>
      </c>
      <c r="C9" s="194">
        <v>1</v>
      </c>
      <c r="D9" s="178"/>
      <c r="E9" s="177">
        <v>300000</v>
      </c>
      <c r="F9" s="177">
        <v>250000</v>
      </c>
      <c r="G9" s="177">
        <v>0</v>
      </c>
      <c r="H9" s="177">
        <v>0</v>
      </c>
      <c r="I9" s="177">
        <v>0</v>
      </c>
      <c r="J9" s="177">
        <v>0</v>
      </c>
      <c r="K9" s="177" cm="1">
        <f t="array" ref="K9">SUM(E9:J9)</f>
        <v>550000</v>
      </c>
    </row>
    <row r="10" spans="1:11" ht="21" customHeight="1" x14ac:dyDescent="0.2">
      <c r="A10" s="119"/>
      <c r="B10" s="154" t="s">
        <v>271</v>
      </c>
      <c r="C10" s="194">
        <v>1</v>
      </c>
      <c r="D10" s="178"/>
      <c r="E10" s="177">
        <v>0</v>
      </c>
      <c r="F10" s="177">
        <v>300000</v>
      </c>
      <c r="G10" s="177">
        <v>250000</v>
      </c>
      <c r="H10" s="177">
        <v>0</v>
      </c>
      <c r="I10" s="177">
        <v>0</v>
      </c>
      <c r="J10" s="177">
        <v>0</v>
      </c>
      <c r="K10" s="177" cm="1">
        <f t="array" ref="K10">SUM(E10:J10)</f>
        <v>550000</v>
      </c>
    </row>
    <row r="11" spans="1:11" ht="21" customHeight="1" x14ac:dyDescent="0.2">
      <c r="A11" s="119"/>
      <c r="B11" s="154" t="s">
        <v>272</v>
      </c>
      <c r="C11" s="194">
        <v>5</v>
      </c>
      <c r="D11" s="178"/>
      <c r="E11" s="177">
        <v>250000</v>
      </c>
      <c r="F11" s="177">
        <v>500000</v>
      </c>
      <c r="G11" s="177">
        <v>500000</v>
      </c>
      <c r="H11" s="177">
        <v>750000</v>
      </c>
      <c r="I11" s="177">
        <v>500000</v>
      </c>
      <c r="J11" s="177">
        <v>0</v>
      </c>
      <c r="K11" s="177" cm="1">
        <f t="array" ref="K11">SUM(E11:J11)</f>
        <v>2500000</v>
      </c>
    </row>
    <row r="12" spans="1:11" ht="21" customHeight="1" x14ac:dyDescent="0.2">
      <c r="A12" s="119"/>
      <c r="B12" s="154" t="s">
        <v>273</v>
      </c>
      <c r="C12" s="194">
        <v>1</v>
      </c>
      <c r="D12" s="178"/>
      <c r="E12" s="177">
        <v>0</v>
      </c>
      <c r="F12" s="177">
        <v>175000</v>
      </c>
      <c r="G12" s="177">
        <v>175000</v>
      </c>
      <c r="H12" s="177">
        <v>0</v>
      </c>
      <c r="I12" s="177">
        <v>0</v>
      </c>
      <c r="J12" s="177">
        <v>0</v>
      </c>
      <c r="K12" s="177" cm="1">
        <f t="array" ref="K12">SUM(E12:J12)</f>
        <v>350000</v>
      </c>
    </row>
    <row r="13" spans="1:11" ht="21" customHeight="1" x14ac:dyDescent="0.2">
      <c r="A13" s="119"/>
      <c r="B13" s="154" t="s">
        <v>274</v>
      </c>
      <c r="C13" s="194">
        <v>3</v>
      </c>
      <c r="D13" s="178"/>
      <c r="E13" s="177">
        <v>75000</v>
      </c>
      <c r="F13" s="177">
        <v>150000</v>
      </c>
      <c r="G13" s="177">
        <v>225000</v>
      </c>
      <c r="H13" s="177">
        <v>0</v>
      </c>
      <c r="I13" s="177">
        <v>0</v>
      </c>
      <c r="J13" s="177">
        <v>0</v>
      </c>
      <c r="K13" s="177" cm="1">
        <f t="array" ref="K13">SUM(E13:J13)</f>
        <v>450000</v>
      </c>
    </row>
    <row r="14" spans="1:11" ht="21" customHeight="1" x14ac:dyDescent="0.2">
      <c r="A14" s="119"/>
      <c r="B14" s="154" t="s">
        <v>275</v>
      </c>
      <c r="C14" s="194">
        <v>1</v>
      </c>
      <c r="D14" s="178"/>
      <c r="E14" s="177">
        <v>300000</v>
      </c>
      <c r="F14" s="177">
        <v>450000</v>
      </c>
      <c r="G14" s="177">
        <v>0</v>
      </c>
      <c r="H14" s="177">
        <v>0</v>
      </c>
      <c r="I14" s="177">
        <v>0</v>
      </c>
      <c r="J14" s="177">
        <v>0</v>
      </c>
      <c r="K14" s="177" cm="1">
        <f t="array" ref="K14">SUM(E14:J14)</f>
        <v>750000</v>
      </c>
    </row>
    <row r="15" spans="1:11" ht="19.5" customHeight="1" x14ac:dyDescent="0.2">
      <c r="A15" s="195"/>
      <c r="B15" s="196" t="s">
        <v>276</v>
      </c>
      <c r="C15" s="151"/>
      <c r="D15" s="151"/>
      <c r="E15" s="206" cm="1">
        <f t="array" ref="E15">SUM(E6:E14)</f>
        <v>1190000</v>
      </c>
      <c r="F15" s="206" cm="1">
        <f t="array" ref="F15">SUM(F6:F14)</f>
        <v>2440000</v>
      </c>
      <c r="G15" s="206" cm="1">
        <f t="array" ref="G15">SUM(G6:G14)</f>
        <v>1210000</v>
      </c>
      <c r="H15" s="206" cm="1">
        <f t="array" ref="H15">SUM(H6:H14)</f>
        <v>750000</v>
      </c>
      <c r="I15" s="206" cm="1">
        <f t="array" ref="I15">SUM(I6:I14)</f>
        <v>500000</v>
      </c>
      <c r="J15" s="206" cm="1">
        <f t="array" ref="J15">SUM(J6:J14)</f>
        <v>0</v>
      </c>
      <c r="K15" s="206" cm="1">
        <f t="array" ref="K15">SUM(K6:K14)</f>
        <v>6090000</v>
      </c>
    </row>
    <row r="16" spans="1:11" ht="21" customHeight="1" x14ac:dyDescent="0.2">
      <c r="A16" s="119"/>
      <c r="B16" s="191"/>
      <c r="C16" s="191"/>
      <c r="D16" s="191"/>
      <c r="E16" s="191"/>
      <c r="F16" s="191"/>
      <c r="G16" s="191"/>
      <c r="H16" s="191"/>
      <c r="I16" s="191"/>
      <c r="J16" s="191"/>
      <c r="K16" s="191"/>
    </row>
    <row r="17" spans="1:11" ht="21" customHeight="1" x14ac:dyDescent="0.2">
      <c r="A17" s="115"/>
      <c r="B17" s="290" t="s">
        <v>277</v>
      </c>
      <c r="C17" s="290"/>
      <c r="D17" s="290"/>
      <c r="E17" s="290"/>
      <c r="F17" s="290"/>
      <c r="G17" s="290"/>
      <c r="H17" s="290"/>
      <c r="I17" s="290"/>
      <c r="J17" s="290"/>
      <c r="K17" s="291"/>
    </row>
    <row r="18" spans="1:11" ht="21" customHeight="1" x14ac:dyDescent="0.2">
      <c r="A18" s="119"/>
      <c r="B18" s="154" t="s">
        <v>278</v>
      </c>
      <c r="C18" s="121"/>
      <c r="D18" s="121"/>
      <c r="E18" s="177" cm="1">
        <f t="array" ref="E18">E15</f>
        <v>1190000</v>
      </c>
      <c r="F18" s="177" cm="1">
        <f t="array" ref="F18">E18+F15</f>
        <v>3630000</v>
      </c>
      <c r="G18" s="177" cm="1">
        <f t="array" ref="G18">F18+G15</f>
        <v>4840000</v>
      </c>
      <c r="H18" s="177" cm="1">
        <f t="array" ref="H18">G18+H15</f>
        <v>5590000</v>
      </c>
      <c r="I18" s="177" cm="1">
        <f t="array" ref="I18">H18+I15</f>
        <v>6090000</v>
      </c>
      <c r="J18" s="177" cm="1">
        <f t="array" ref="J18">I18+J15</f>
        <v>6090000</v>
      </c>
      <c r="K18" s="121"/>
    </row>
    <row r="19" spans="1:11" ht="21" customHeight="1" x14ac:dyDescent="0.2">
      <c r="A19" s="119"/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1" ht="18" customHeight="1" x14ac:dyDescent="0.2">
      <c r="A20" s="119"/>
      <c r="B20" s="287" t="s">
        <v>112</v>
      </c>
      <c r="C20" s="287"/>
      <c r="D20" s="287"/>
      <c r="E20" s="287"/>
      <c r="F20" s="287"/>
      <c r="G20" s="287"/>
      <c r="H20" s="287"/>
      <c r="I20" s="287"/>
      <c r="J20" s="287"/>
      <c r="K20" s="287"/>
    </row>
    <row r="21" spans="1:11" ht="21" customHeight="1" x14ac:dyDescent="0.2">
      <c r="A21" s="119"/>
      <c r="B21" s="288" t="s">
        <v>279</v>
      </c>
      <c r="C21" s="288"/>
      <c r="D21" s="288"/>
      <c r="E21" s="288"/>
      <c r="F21" s="288"/>
      <c r="G21" s="288"/>
      <c r="H21" s="288"/>
      <c r="I21" s="288"/>
      <c r="J21" s="288"/>
      <c r="K21" s="288"/>
    </row>
    <row r="22" spans="1:11" ht="21" customHeight="1" x14ac:dyDescent="0.2">
      <c r="A22" s="119"/>
      <c r="B22" s="288" t="s">
        <v>280</v>
      </c>
      <c r="C22" s="288"/>
      <c r="D22" s="288"/>
      <c r="E22" s="288"/>
      <c r="F22" s="288"/>
      <c r="G22" s="288"/>
      <c r="H22" s="288"/>
      <c r="I22" s="288"/>
      <c r="J22" s="288"/>
      <c r="K22" s="288"/>
    </row>
    <row r="23" spans="1:11" ht="21" customHeight="1" x14ac:dyDescent="0.2">
      <c r="A23" s="119"/>
      <c r="B23" s="288" t="s">
        <v>281</v>
      </c>
      <c r="C23" s="288"/>
      <c r="D23" s="288"/>
      <c r="E23" s="288"/>
      <c r="F23" s="288"/>
      <c r="G23" s="288"/>
      <c r="H23" s="288"/>
      <c r="I23" s="288"/>
      <c r="J23" s="288"/>
      <c r="K23" s="288"/>
    </row>
    <row r="24" spans="1:11" ht="13.5" customHeight="1" x14ac:dyDescent="0.2">
      <c r="A24" s="260"/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 ht="19.5" customHeight="1" x14ac:dyDescent="0.2">
      <c r="A25" s="159"/>
      <c r="B25" s="101" t="s">
        <v>282</v>
      </c>
      <c r="C25" s="65"/>
      <c r="D25" s="65"/>
      <c r="E25" s="65"/>
      <c r="F25" s="65"/>
      <c r="G25" s="65"/>
      <c r="H25" s="65"/>
      <c r="I25" s="65"/>
      <c r="J25" s="65"/>
      <c r="K25" s="66"/>
    </row>
    <row r="26" spans="1:11" ht="15" customHeight="1" x14ac:dyDescent="0.2">
      <c r="A26" s="260"/>
      <c r="B26" s="261" t="s">
        <v>48</v>
      </c>
      <c r="C26" s="10"/>
      <c r="D26" s="10"/>
      <c r="E26" s="10"/>
      <c r="F26" s="10"/>
      <c r="G26" s="10"/>
      <c r="H26" s="10"/>
      <c r="I26" s="10"/>
      <c r="J26" s="10"/>
      <c r="K26" s="262" cm="1">
        <f t="array" ref="K26">K15</f>
        <v>6090000</v>
      </c>
    </row>
    <row r="27" spans="1:11" ht="15" customHeight="1" x14ac:dyDescent="0.2">
      <c r="A27" s="260"/>
      <c r="B27" s="261" t="s">
        <v>283</v>
      </c>
      <c r="C27" s="10"/>
      <c r="D27" s="10"/>
      <c r="E27" s="10"/>
      <c r="F27" s="10"/>
      <c r="G27" s="10"/>
      <c r="H27" s="10"/>
      <c r="I27" s="10"/>
      <c r="J27" s="10"/>
      <c r="K27" s="262" cm="1">
        <f t="array" ref="K27">'Master Dials'!C9</f>
        <v>1500000</v>
      </c>
    </row>
    <row r="28" spans="1:11" ht="15" customHeight="1" x14ac:dyDescent="0.2">
      <c r="A28" s="263"/>
      <c r="B28" s="264" t="s">
        <v>284</v>
      </c>
      <c r="C28" s="265"/>
      <c r="D28" s="265"/>
      <c r="E28" s="265"/>
      <c r="F28" s="265"/>
      <c r="G28" s="265"/>
      <c r="H28" s="265"/>
      <c r="I28" s="265"/>
      <c r="J28" s="265"/>
      <c r="K28" s="266" cm="1">
        <f t="array" ref="K28">K26+K27</f>
        <v>7590000</v>
      </c>
    </row>
  </sheetData>
  <mergeCells count="5">
    <mergeCell ref="B17:K17"/>
    <mergeCell ref="B20:K20"/>
    <mergeCell ref="B21:K21"/>
    <mergeCell ref="B22:K22"/>
    <mergeCell ref="B23:K23"/>
  </mergeCells>
  <pageMargins left="0.75" right="0.75" top="1" bottom="1" header="0.51181100000000002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Dashboard</vt:lpstr>
      <vt:lpstr>P&amp;L Tables</vt:lpstr>
      <vt:lpstr>Master Dials</vt:lpstr>
      <vt:lpstr>Product Catalog</vt:lpstr>
      <vt:lpstr>Production + COGS</vt:lpstr>
      <vt:lpstr>Team Roster</vt:lpstr>
      <vt:lpstr>CapEx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Medina</cp:lastModifiedBy>
  <dcterms:modified xsi:type="dcterms:W3CDTF">2026-06-17T04:11:34Z</dcterms:modified>
</cp:coreProperties>
</file>